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4.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media/image3.png" ContentType="image/png"/>
  <Override PartName="/xl/charts/chart1.xml" ContentType="application/vnd.openxmlformats-officedocument.drawingml.chart+xml"/>
  <Override PartName="/xl/comments1.xml" ContentType="application/vnd.openxmlformats-officedocument.spreadsheetml.comments+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drawings/drawing2.xml" ContentType="application/vnd.openxmlformats-officedocument.drawing+xml"/>
  <Override PartName="/xl/drawings/vmlDrawing2.vml" ContentType="application/vnd.openxmlformats-officedocument.vmlDrawing"/>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ain" sheetId="1" state="visible" r:id="rId2"/>
    <sheet name="Calc_M" sheetId="2" state="visible" r:id="rId3"/>
    <sheet name="Manual, Credits, Copyright" sheetId="3" state="visible" r:id="rId4"/>
    <sheet name="Apparent RT60 -Approximation" sheetId="4" state="visible" r:id="rId5"/>
  </sheets>
  <calcPr iterateCount="100" refMode="A1" iterate="false" iterateDelta="0.001"/>
  <extLst>
    <ext xmlns:loext="http://schemas.libreoffice.org/" uri="{7626C862-2A13-11E5-B345-FEFF819CDC9F}">
      <loext:extCalcPr stringRefSyntax="CalcA1ExcelA1"/>
    </ext>
  </extLst>
</workbook>
</file>

<file path=xl/comments1.xml><?xml version="1.0" encoding="utf-8"?>
<comments xmlns="http://schemas.openxmlformats.org/spreadsheetml/2006/main" xmlns:xdr="http://schemas.openxmlformats.org/drawingml/2006/spreadsheetDrawing">
  <authors>
    <author> </author>
  </authors>
  <commentList>
    <comment ref="A10" authorId="0">
      <text>
        <r>
          <rPr>
            <sz val="10"/>
            <rFont val="Arial"/>
            <family val="0"/>
          </rPr>
          <t xml:space="preserve">Use ULYSSES 2.90 Lt octave values as input</t>
        </r>
      </text>
    </comment>
    <comment ref="A22" authorId="0">
      <text>
        <r>
          <rPr>
            <sz val="10"/>
            <rFont val="Arial"/>
            <family val="0"/>
          </rPr>
          <t xml:space="preserve">Use octave noise level values as input.</t>
        </r>
      </text>
    </comment>
    <comment ref="A33" authorId="0">
      <text>
        <r>
          <rPr>
            <sz val="10"/>
            <rFont val="Arial"/>
            <family val="0"/>
          </rPr>
          <t xml:space="preserve">Use ULYSSES 2.90 MTI octave values as input</t>
        </r>
      </text>
    </comment>
    <comment ref="A56" authorId="0">
      <text>
        <r>
          <rPr>
            <sz val="10"/>
            <rFont val="Arial"/>
            <family val="0"/>
          </rPr>
          <t xml:space="preserve">Just for reference where speech spectrum levels are derived from.</t>
        </r>
      </text>
    </comment>
    <comment ref="I11" authorId="0">
      <text>
        <r>
          <rPr>
            <sz val="10"/>
            <rFont val="Arial"/>
            <family val="0"/>
          </rPr>
          <t xml:space="preserve">dB value of Crest factor for all octave bands.
Set to -12dB for no compression or for -9dB for maximum (3dB)
Compression (ref. 0833-4).
</t>
        </r>
      </text>
    </comment>
    <comment ref="J11" authorId="0">
      <text>
        <r>
          <rPr>
            <sz val="10"/>
            <rFont val="Arial"/>
            <family val="0"/>
          </rPr>
          <t xml:space="preserve">Crest factor switch
0 = off
1= on
</t>
        </r>
      </text>
    </comment>
    <comment ref="J12" authorId="0">
      <text>
        <r>
          <rPr>
            <sz val="10"/>
            <rFont val="Arial"/>
            <family val="0"/>
          </rPr>
          <t xml:space="preserve">Speech 
Spectrum EQ-Switch
0= off
1 = on</t>
        </r>
      </text>
    </comment>
    <comment ref="J23" authorId="0">
      <text>
        <r>
          <rPr>
            <sz val="10"/>
            <rFont val="Arial"/>
            <family val="0"/>
          </rPr>
          <t xml:space="preserve">Noise- EQ-Switch
0= off
1 = on</t>
        </r>
      </text>
    </comment>
  </commentList>
</comments>
</file>

<file path=xl/comments2.xml><?xml version="1.0" encoding="utf-8"?>
<comments xmlns="http://schemas.openxmlformats.org/spreadsheetml/2006/main" xmlns:xdr="http://schemas.openxmlformats.org/drawingml/2006/spreadsheetDrawing">
  <authors>
    <author> </author>
  </authors>
  <commentList>
    <comment ref="A4" authorId="0">
      <text>
        <r>
          <rPr>
            <sz val="10"/>
            <rFont val="Arial"/>
            <family val="0"/>
          </rPr>
          <t xml:space="preserve"> V. Loewer:
</t>
        </r>
        <r>
          <rPr>
            <sz val="8"/>
            <color rgb="FF000000"/>
            <rFont val="Tahoma"/>
            <family val="0"/>
          </rPr>
          <t xml:space="preserve">Apparent modulation index due to direct sound intensity and reverberation intensity</t>
        </r>
      </text>
    </comment>
    <comment ref="A5" authorId="0">
      <text>
        <r>
          <rPr>
            <sz val="10"/>
            <rFont val="Arial"/>
            <family val="0"/>
          </rPr>
          <t xml:space="preserve">Apparent  RT60 from modulation index</t>
        </r>
      </text>
    </comment>
    <comment ref="A6" authorId="0">
      <text>
        <r>
          <rPr>
            <sz val="10"/>
            <rFont val="Arial"/>
            <family val="0"/>
          </rPr>
          <t xml:space="preserve">Apparent RT60 corrected by approximation</t>
        </r>
      </text>
    </comment>
    <comment ref="A19" authorId="0">
      <text>
        <r>
          <rPr>
            <sz val="10"/>
            <rFont val="Arial"/>
            <family val="0"/>
          </rPr>
          <t xml:space="preserve"> V. Loewer:
</t>
        </r>
        <r>
          <rPr>
            <sz val="8"/>
            <color rgb="FF000000"/>
            <rFont val="Tahoma"/>
            <family val="0"/>
          </rPr>
          <t xml:space="preserve">Apparent modulation index due to direct sound intensity and reverberation intensity
</t>
        </r>
      </text>
    </comment>
    <comment ref="A20" authorId="0">
      <text>
        <r>
          <rPr>
            <sz val="10"/>
            <rFont val="Arial"/>
            <family val="0"/>
          </rPr>
          <t xml:space="preserve">Apparent  RT60 from modulation index
</t>
        </r>
      </text>
    </comment>
    <comment ref="A21" authorId="0">
      <text>
        <r>
          <rPr>
            <sz val="10"/>
            <rFont val="Arial"/>
            <family val="0"/>
          </rPr>
          <t xml:space="preserve">Apparent RT60 corrected by approximation</t>
        </r>
      </text>
    </comment>
    <comment ref="A34" authorId="0">
      <text>
        <r>
          <rPr>
            <sz val="10"/>
            <rFont val="Arial"/>
            <family val="0"/>
          </rPr>
          <t xml:space="preserve"> V. Loewer:
</t>
        </r>
        <r>
          <rPr>
            <sz val="8"/>
            <color rgb="FF000000"/>
            <rFont val="Tahoma"/>
            <family val="0"/>
          </rPr>
          <t xml:space="preserve">Apparent modulation index due to direct sound intensity and reverberation intensity
</t>
        </r>
      </text>
    </comment>
    <comment ref="A35" authorId="0">
      <text>
        <r>
          <rPr>
            <sz val="10"/>
            <rFont val="Arial"/>
            <family val="0"/>
          </rPr>
          <t xml:space="preserve">Apparent  RT60 from modulation index
</t>
        </r>
      </text>
    </comment>
    <comment ref="A36" authorId="0">
      <text>
        <r>
          <rPr>
            <sz val="10"/>
            <rFont val="Arial"/>
            <family val="0"/>
          </rPr>
          <t xml:space="preserve">Apparent RT60 corrected by approximation</t>
        </r>
      </text>
    </comment>
    <comment ref="A49" authorId="0">
      <text>
        <r>
          <rPr>
            <sz val="10"/>
            <rFont val="Arial"/>
            <family val="0"/>
          </rPr>
          <t xml:space="preserve"> V. Loewer:
</t>
        </r>
        <r>
          <rPr>
            <sz val="8"/>
            <color rgb="FF000000"/>
            <rFont val="Tahoma"/>
            <family val="0"/>
          </rPr>
          <t xml:space="preserve">Apparent modulation index due to direct sound intensity and reverberation intensity
</t>
        </r>
      </text>
    </comment>
    <comment ref="A50" authorId="0">
      <text>
        <r>
          <rPr>
            <sz val="10"/>
            <rFont val="Arial"/>
            <family val="0"/>
          </rPr>
          <t xml:space="preserve">Apparent  RT60 from modulation index
</t>
        </r>
      </text>
    </comment>
    <comment ref="A51" authorId="0">
      <text>
        <r>
          <rPr>
            <sz val="10"/>
            <rFont val="Arial"/>
            <family val="0"/>
          </rPr>
          <t xml:space="preserve">Apparent RT60 corrected by approximation</t>
        </r>
      </text>
    </comment>
    <comment ref="A64" authorId="0">
      <text>
        <r>
          <rPr>
            <sz val="10"/>
            <rFont val="Arial"/>
            <family val="0"/>
          </rPr>
          <t xml:space="preserve"> V. Loewer:
</t>
        </r>
        <r>
          <rPr>
            <sz val="8"/>
            <color rgb="FF000000"/>
            <rFont val="Tahoma"/>
            <family val="0"/>
          </rPr>
          <t xml:space="preserve">Apparent modulation index due to direct sound intensity and reverberation intensity
</t>
        </r>
      </text>
    </comment>
    <comment ref="A65" authorId="0">
      <text>
        <r>
          <rPr>
            <sz val="10"/>
            <rFont val="Arial"/>
            <family val="0"/>
          </rPr>
          <t xml:space="preserve">Apparent  RT60 from modulation index
</t>
        </r>
      </text>
    </comment>
    <comment ref="A66" authorId="0">
      <text>
        <r>
          <rPr>
            <sz val="10"/>
            <rFont val="Arial"/>
            <family val="0"/>
          </rPr>
          <t xml:space="preserve">Apparent RT60 corrected by approximation</t>
        </r>
      </text>
    </comment>
    <comment ref="A79" authorId="0">
      <text>
        <r>
          <rPr>
            <sz val="10"/>
            <rFont val="Arial"/>
            <family val="0"/>
          </rPr>
          <t xml:space="preserve"> V. Loewer:
</t>
        </r>
        <r>
          <rPr>
            <sz val="8"/>
            <color rgb="FF000000"/>
            <rFont val="Tahoma"/>
            <family val="0"/>
          </rPr>
          <t xml:space="preserve">Apparent modulation index due to direct sound intensity and reverberation intensity
</t>
        </r>
      </text>
    </comment>
    <comment ref="A80" authorId="0">
      <text>
        <r>
          <rPr>
            <sz val="10"/>
            <rFont val="Arial"/>
            <family val="0"/>
          </rPr>
          <t xml:space="preserve">Apparent  RT60 from modulation index
</t>
        </r>
      </text>
    </comment>
    <comment ref="A81" authorId="0">
      <text>
        <r>
          <rPr>
            <sz val="10"/>
            <rFont val="Arial"/>
            <family val="0"/>
          </rPr>
          <t xml:space="preserve">Apparent RT60 corrected by approximation</t>
        </r>
      </text>
    </comment>
    <comment ref="A94" authorId="0">
      <text>
        <r>
          <rPr>
            <sz val="10"/>
            <rFont val="Arial"/>
            <family val="0"/>
          </rPr>
          <t xml:space="preserve"> V. Loewer:
</t>
        </r>
        <r>
          <rPr>
            <sz val="8"/>
            <color rgb="FF000000"/>
            <rFont val="Tahoma"/>
            <family val="0"/>
          </rPr>
          <t xml:space="preserve">Apparent modulation index due to direct sound intensity and reverberation intensity
</t>
        </r>
      </text>
    </comment>
    <comment ref="A95" authorId="0">
      <text>
        <r>
          <rPr>
            <sz val="10"/>
            <rFont val="Arial"/>
            <family val="0"/>
          </rPr>
          <t xml:space="preserve">Apparent  RT60 from modulation index
</t>
        </r>
      </text>
    </comment>
    <comment ref="A96" authorId="0">
      <text>
        <r>
          <rPr>
            <sz val="10"/>
            <rFont val="Arial"/>
            <family val="0"/>
          </rPr>
          <t xml:space="preserve">Apparent RT60 corrected by approximation</t>
        </r>
      </text>
    </comment>
    <comment ref="C4" authorId="0">
      <text>
        <r>
          <rPr>
            <sz val="10"/>
            <rFont val="Arial"/>
            <family val="0"/>
          </rPr>
          <t xml:space="preserve">V. Loewer:
</t>
        </r>
        <r>
          <rPr>
            <sz val="8"/>
            <color rgb="FF000000"/>
            <rFont val="Tahoma"/>
            <family val="0"/>
          </rPr>
          <t xml:space="preserve">Apparent modulation index due to direct sound intensity and reverberation intensity</t>
        </r>
      </text>
    </comment>
    <comment ref="D4" authorId="0">
      <text>
        <r>
          <rPr>
            <sz val="10"/>
            <rFont val="Arial"/>
            <family val="0"/>
          </rPr>
          <t xml:space="preserve">Ole-Herman Bjor:
</t>
        </r>
        <r>
          <rPr>
            <sz val="8"/>
            <color rgb="FF000000"/>
            <rFont val="Tahoma"/>
            <family val="0"/>
          </rPr>
          <t xml:space="preserve">Intensity of sound signal</t>
        </r>
      </text>
    </comment>
    <comment ref="D19" authorId="0">
      <text>
        <r>
          <rPr>
            <sz val="10"/>
            <rFont val="Arial"/>
            <family val="0"/>
          </rPr>
          <t xml:space="preserve">Ole-Herman Bjor:
</t>
        </r>
        <r>
          <rPr>
            <sz val="8"/>
            <color rgb="FF000000"/>
            <rFont val="Tahoma"/>
            <family val="0"/>
          </rPr>
          <t xml:space="preserve">Intensity of sound signal</t>
        </r>
      </text>
    </comment>
    <comment ref="D34" authorId="0">
      <text>
        <r>
          <rPr>
            <sz val="10"/>
            <rFont val="Arial"/>
            <family val="0"/>
          </rPr>
          <t xml:space="preserve">Ole-Herman Bjor:
</t>
        </r>
        <r>
          <rPr>
            <sz val="8"/>
            <color rgb="FF000000"/>
            <rFont val="Tahoma"/>
            <family val="0"/>
          </rPr>
          <t xml:space="preserve">Intensity of sound signal</t>
        </r>
      </text>
    </comment>
    <comment ref="D49" authorId="0">
      <text>
        <r>
          <rPr>
            <sz val="10"/>
            <rFont val="Arial"/>
            <family val="0"/>
          </rPr>
          <t xml:space="preserve">Ole-Herman Bjor:
</t>
        </r>
        <r>
          <rPr>
            <sz val="8"/>
            <color rgb="FF000000"/>
            <rFont val="Tahoma"/>
            <family val="0"/>
          </rPr>
          <t xml:space="preserve">Intensity of sound signal</t>
        </r>
      </text>
    </comment>
    <comment ref="D64" authorId="0">
      <text>
        <r>
          <rPr>
            <sz val="10"/>
            <rFont val="Arial"/>
            <family val="0"/>
          </rPr>
          <t xml:space="preserve">Ole-Herman Bjor:
</t>
        </r>
        <r>
          <rPr>
            <sz val="8"/>
            <color rgb="FF000000"/>
            <rFont val="Tahoma"/>
            <family val="0"/>
          </rPr>
          <t xml:space="preserve">Intensity of sound signal</t>
        </r>
      </text>
    </comment>
    <comment ref="D79" authorId="0">
      <text>
        <r>
          <rPr>
            <sz val="10"/>
            <rFont val="Arial"/>
            <family val="0"/>
          </rPr>
          <t xml:space="preserve">Ole-Herman Bjor:
</t>
        </r>
        <r>
          <rPr>
            <sz val="8"/>
            <color rgb="FF000000"/>
            <rFont val="Tahoma"/>
            <family val="0"/>
          </rPr>
          <t xml:space="preserve">Intensity of sound signal</t>
        </r>
      </text>
    </comment>
    <comment ref="D94" authorId="0">
      <text>
        <r>
          <rPr>
            <sz val="10"/>
            <rFont val="Arial"/>
            <family val="0"/>
          </rPr>
          <t xml:space="preserve">Ole-Herman Bjor:
</t>
        </r>
        <r>
          <rPr>
            <sz val="8"/>
            <color rgb="FF000000"/>
            <rFont val="Tahoma"/>
            <family val="0"/>
          </rPr>
          <t xml:space="preserve">Intensity of sound signal</t>
        </r>
      </text>
    </comment>
    <comment ref="E4" authorId="0">
      <text>
        <r>
          <rPr>
            <sz val="10"/>
            <rFont val="Arial"/>
            <family val="0"/>
          </rPr>
          <t xml:space="preserve">Ole-Herman Bjor:
</t>
        </r>
        <r>
          <rPr>
            <sz val="8"/>
            <color rgb="FF000000"/>
            <rFont val="Tahoma"/>
            <family val="0"/>
          </rPr>
          <t xml:space="preserve">Intensity of noise</t>
        </r>
      </text>
    </comment>
    <comment ref="E19" authorId="0">
      <text>
        <r>
          <rPr>
            <sz val="10"/>
            <rFont val="Arial"/>
            <family val="0"/>
          </rPr>
          <t xml:space="preserve">Ole-Herman Bjor:
</t>
        </r>
        <r>
          <rPr>
            <sz val="8"/>
            <color rgb="FF000000"/>
            <rFont val="Tahoma"/>
            <family val="0"/>
          </rPr>
          <t xml:space="preserve">Intensity of noise</t>
        </r>
      </text>
    </comment>
    <comment ref="E34" authorId="0">
      <text>
        <r>
          <rPr>
            <sz val="10"/>
            <rFont val="Arial"/>
            <family val="0"/>
          </rPr>
          <t xml:space="preserve">Ole-Herman Bjor:
</t>
        </r>
        <r>
          <rPr>
            <sz val="8"/>
            <color rgb="FF000000"/>
            <rFont val="Tahoma"/>
            <family val="0"/>
          </rPr>
          <t xml:space="preserve">Intensity of noise</t>
        </r>
      </text>
    </comment>
    <comment ref="E49" authorId="0">
      <text>
        <r>
          <rPr>
            <sz val="10"/>
            <rFont val="Arial"/>
            <family val="0"/>
          </rPr>
          <t xml:space="preserve">Ole-Herman Bjor:
</t>
        </r>
        <r>
          <rPr>
            <sz val="8"/>
            <color rgb="FF000000"/>
            <rFont val="Tahoma"/>
            <family val="0"/>
          </rPr>
          <t xml:space="preserve">Intensity of noise</t>
        </r>
      </text>
    </comment>
    <comment ref="E64" authorId="0">
      <text>
        <r>
          <rPr>
            <sz val="10"/>
            <rFont val="Arial"/>
            <family val="0"/>
          </rPr>
          <t xml:space="preserve">Ole-Herman Bjor:
</t>
        </r>
        <r>
          <rPr>
            <sz val="8"/>
            <color rgb="FF000000"/>
            <rFont val="Tahoma"/>
            <family val="0"/>
          </rPr>
          <t xml:space="preserve">Intensity of noise</t>
        </r>
      </text>
    </comment>
    <comment ref="E79" authorId="0">
      <text>
        <r>
          <rPr>
            <sz val="10"/>
            <rFont val="Arial"/>
            <family val="0"/>
          </rPr>
          <t xml:space="preserve">Ole-Herman Bjor:
</t>
        </r>
        <r>
          <rPr>
            <sz val="8"/>
            <color rgb="FF000000"/>
            <rFont val="Tahoma"/>
            <family val="0"/>
          </rPr>
          <t xml:space="preserve">Intensity of noise</t>
        </r>
      </text>
    </comment>
    <comment ref="E94" authorId="0">
      <text>
        <r>
          <rPr>
            <sz val="10"/>
            <rFont val="Arial"/>
            <family val="0"/>
          </rPr>
          <t xml:space="preserve">Ole-Herman Bjor:
</t>
        </r>
        <r>
          <rPr>
            <sz val="8"/>
            <color rgb="FF000000"/>
            <rFont val="Tahoma"/>
            <family val="0"/>
          </rPr>
          <t xml:space="preserve">Intensity of noise</t>
        </r>
      </text>
    </comment>
    <comment ref="F3" authorId="0">
      <text>
        <r>
          <rPr>
            <sz val="10"/>
            <rFont val="Arial"/>
            <family val="0"/>
          </rPr>
          <t xml:space="preserve">Ole-Herman Bjor:
</t>
        </r>
        <r>
          <rPr>
            <sz val="8"/>
            <color rgb="FF000000"/>
            <rFont val="Tahoma"/>
            <family val="0"/>
          </rPr>
          <t xml:space="preserve">Hearing treshold</t>
        </r>
      </text>
    </comment>
    <comment ref="F4" authorId="0">
      <text>
        <r>
          <rPr>
            <sz val="10"/>
            <rFont val="Arial"/>
            <family val="0"/>
          </rPr>
          <t xml:space="preserve">Ole-Herman Bjor:
</t>
        </r>
        <r>
          <rPr>
            <sz val="8"/>
            <color rgb="FF000000"/>
            <rFont val="Tahoma"/>
            <family val="0"/>
          </rPr>
          <t xml:space="preserve">Intesity of hearing treshold</t>
        </r>
      </text>
    </comment>
    <comment ref="F19" authorId="0">
      <text>
        <r>
          <rPr>
            <sz val="10"/>
            <rFont val="Arial"/>
            <family val="0"/>
          </rPr>
          <t xml:space="preserve">Ole-Herman Bjor:
</t>
        </r>
        <r>
          <rPr>
            <sz val="8"/>
            <color rgb="FF000000"/>
            <rFont val="Tahoma"/>
            <family val="0"/>
          </rPr>
          <t xml:space="preserve">Intesity of hearing treshold</t>
        </r>
      </text>
    </comment>
    <comment ref="F34" authorId="0">
      <text>
        <r>
          <rPr>
            <sz val="10"/>
            <rFont val="Arial"/>
            <family val="0"/>
          </rPr>
          <t xml:space="preserve">Ole-Herman Bjor:
</t>
        </r>
        <r>
          <rPr>
            <sz val="8"/>
            <color rgb="FF000000"/>
            <rFont val="Tahoma"/>
            <family val="0"/>
          </rPr>
          <t xml:space="preserve">Intesity of hearing treshold</t>
        </r>
      </text>
    </comment>
    <comment ref="F49" authorId="0">
      <text>
        <r>
          <rPr>
            <sz val="10"/>
            <rFont val="Arial"/>
            <family val="0"/>
          </rPr>
          <t xml:space="preserve">Ole-Herman Bjor:
</t>
        </r>
        <r>
          <rPr>
            <sz val="8"/>
            <color rgb="FF000000"/>
            <rFont val="Tahoma"/>
            <family val="0"/>
          </rPr>
          <t xml:space="preserve">Intesity of hearing treshold</t>
        </r>
      </text>
    </comment>
    <comment ref="F64" authorId="0">
      <text>
        <r>
          <rPr>
            <sz val="10"/>
            <rFont val="Arial"/>
            <family val="0"/>
          </rPr>
          <t xml:space="preserve">Ole-Herman Bjor:
</t>
        </r>
        <r>
          <rPr>
            <sz val="8"/>
            <color rgb="FF000000"/>
            <rFont val="Tahoma"/>
            <family val="0"/>
          </rPr>
          <t xml:space="preserve">Intesity of hearing treshold</t>
        </r>
      </text>
    </comment>
    <comment ref="F79" authorId="0">
      <text>
        <r>
          <rPr>
            <sz val="10"/>
            <rFont val="Arial"/>
            <family val="0"/>
          </rPr>
          <t xml:space="preserve">Ole-Herman Bjor:
</t>
        </r>
        <r>
          <rPr>
            <sz val="8"/>
            <color rgb="FF000000"/>
            <rFont val="Tahoma"/>
            <family val="0"/>
          </rPr>
          <t xml:space="preserve">Intesity of hearing treshold</t>
        </r>
      </text>
    </comment>
    <comment ref="F94" authorId="0">
      <text>
        <r>
          <rPr>
            <sz val="10"/>
            <rFont val="Arial"/>
            <family val="0"/>
          </rPr>
          <t xml:space="preserve">Ole-Herman Bjor:
</t>
        </r>
        <r>
          <rPr>
            <sz val="8"/>
            <color rgb="FF000000"/>
            <rFont val="Tahoma"/>
            <family val="0"/>
          </rPr>
          <t xml:space="preserve">Intesity of hearing treshold</t>
        </r>
      </text>
    </comment>
    <comment ref="H3" authorId="0">
      <text>
        <r>
          <rPr>
            <sz val="10"/>
            <rFont val="Arial"/>
            <family val="0"/>
          </rPr>
          <t xml:space="preserve">Ole-Herman Bjor:
</t>
        </r>
        <r>
          <rPr>
            <sz val="8"/>
            <color rgb="FF000000"/>
            <rFont val="Tahoma"/>
            <family val="0"/>
          </rPr>
          <t xml:space="preserve">Masking factor is a function of Ls and Ln</t>
        </r>
      </text>
    </comment>
    <comment ref="H18" authorId="0">
      <text>
        <r>
          <rPr>
            <sz val="10"/>
            <rFont val="Arial"/>
            <family val="0"/>
          </rPr>
          <t xml:space="preserve">Ole-Herman Bjor:
</t>
        </r>
        <r>
          <rPr>
            <sz val="8"/>
            <color rgb="FF000000"/>
            <rFont val="Tahoma"/>
            <family val="0"/>
          </rPr>
          <t xml:space="preserve">Masking factor is a function of Ls and Ln</t>
        </r>
      </text>
    </comment>
    <comment ref="H19" authorId="0">
      <text>
        <r>
          <rPr>
            <sz val="10"/>
            <rFont val="Arial"/>
            <family val="0"/>
          </rPr>
          <t xml:space="preserve">Ole-Herman Bjor:
</t>
        </r>
        <r>
          <rPr>
            <sz val="8"/>
            <color rgb="FF000000"/>
            <rFont val="Tahoma"/>
            <family val="0"/>
          </rPr>
          <t xml:space="preserve">Masking intensity from lower octave band</t>
        </r>
      </text>
    </comment>
    <comment ref="H33" authorId="0">
      <text>
        <r>
          <rPr>
            <sz val="10"/>
            <rFont val="Arial"/>
            <family val="0"/>
          </rPr>
          <t xml:space="preserve">Ole-Herman Bjor:
</t>
        </r>
        <r>
          <rPr>
            <sz val="8"/>
            <color rgb="FF000000"/>
            <rFont val="Tahoma"/>
            <family val="0"/>
          </rPr>
          <t xml:space="preserve">Masking factor is a function of Ls and Ln</t>
        </r>
      </text>
    </comment>
    <comment ref="H34" authorId="0">
      <text>
        <r>
          <rPr>
            <sz val="10"/>
            <rFont val="Arial"/>
            <family val="0"/>
          </rPr>
          <t xml:space="preserve">Ole-Herman Bjor:
</t>
        </r>
        <r>
          <rPr>
            <sz val="8"/>
            <color rgb="FF000000"/>
            <rFont val="Tahoma"/>
            <family val="0"/>
          </rPr>
          <t xml:space="preserve">Masking intensity from lower octave band</t>
        </r>
      </text>
    </comment>
    <comment ref="H48" authorId="0">
      <text>
        <r>
          <rPr>
            <sz val="10"/>
            <rFont val="Arial"/>
            <family val="0"/>
          </rPr>
          <t xml:space="preserve">Ole-Herman Bjor:
</t>
        </r>
        <r>
          <rPr>
            <sz val="8"/>
            <color rgb="FF000000"/>
            <rFont val="Tahoma"/>
            <family val="0"/>
          </rPr>
          <t xml:space="preserve">Masking factor is a function of Ls and Ln</t>
        </r>
      </text>
    </comment>
    <comment ref="H49" authorId="0">
      <text>
        <r>
          <rPr>
            <sz val="10"/>
            <rFont val="Arial"/>
            <family val="0"/>
          </rPr>
          <t xml:space="preserve">Ole-Herman Bjor:
</t>
        </r>
        <r>
          <rPr>
            <sz val="8"/>
            <color rgb="FF000000"/>
            <rFont val="Tahoma"/>
            <family val="0"/>
          </rPr>
          <t xml:space="preserve">Masking intensity from lower octave band</t>
        </r>
      </text>
    </comment>
    <comment ref="H63" authorId="0">
      <text>
        <r>
          <rPr>
            <sz val="10"/>
            <rFont val="Arial"/>
            <family val="0"/>
          </rPr>
          <t xml:space="preserve">Ole-Herman Bjor:
</t>
        </r>
        <r>
          <rPr>
            <sz val="8"/>
            <color rgb="FF000000"/>
            <rFont val="Tahoma"/>
            <family val="0"/>
          </rPr>
          <t xml:space="preserve">Masking factor is a function of Ls and Ln</t>
        </r>
      </text>
    </comment>
    <comment ref="H64" authorId="0">
      <text>
        <r>
          <rPr>
            <sz val="10"/>
            <rFont val="Arial"/>
            <family val="0"/>
          </rPr>
          <t xml:space="preserve">Ole-Herman Bjor:
</t>
        </r>
        <r>
          <rPr>
            <sz val="8"/>
            <color rgb="FF000000"/>
            <rFont val="Tahoma"/>
            <family val="0"/>
          </rPr>
          <t xml:space="preserve">Masking intensity from lower octave band</t>
        </r>
      </text>
    </comment>
    <comment ref="H78" authorId="0">
      <text>
        <r>
          <rPr>
            <sz val="10"/>
            <rFont val="Arial"/>
            <family val="0"/>
          </rPr>
          <t xml:space="preserve">Ole-Herman Bjor:
</t>
        </r>
        <r>
          <rPr>
            <sz val="8"/>
            <color rgb="FF000000"/>
            <rFont val="Tahoma"/>
            <family val="0"/>
          </rPr>
          <t xml:space="preserve">Masking factor is a function of Ls and Ln</t>
        </r>
      </text>
    </comment>
    <comment ref="H79" authorId="0">
      <text>
        <r>
          <rPr>
            <sz val="10"/>
            <rFont val="Arial"/>
            <family val="0"/>
          </rPr>
          <t xml:space="preserve">Ole-Herman Bjor:
</t>
        </r>
        <r>
          <rPr>
            <sz val="8"/>
            <color rgb="FF000000"/>
            <rFont val="Tahoma"/>
            <family val="0"/>
          </rPr>
          <t xml:space="preserve">Masking intensity from lower octave band</t>
        </r>
      </text>
    </comment>
    <comment ref="H94" authorId="0">
      <text>
        <r>
          <rPr>
            <sz val="10"/>
            <rFont val="Arial"/>
            <family val="0"/>
          </rPr>
          <t xml:space="preserve">Ole-Herman Bjor:
</t>
        </r>
        <r>
          <rPr>
            <sz val="8"/>
            <color rgb="FF000000"/>
            <rFont val="Tahoma"/>
            <family val="0"/>
          </rPr>
          <t xml:space="preserve">Masking intensity from lower octave band</t>
        </r>
      </text>
    </comment>
  </commentList>
</comments>
</file>

<file path=xl/sharedStrings.xml><?xml version="1.0" encoding="utf-8"?>
<sst xmlns="http://schemas.openxmlformats.org/spreadsheetml/2006/main" count="167" uniqueCount="119">
  <si>
    <r>
      <rPr>
        <sz val="14"/>
        <rFont val="Arial"/>
        <family val="2"/>
      </rPr>
      <t xml:space="preserve">STI</t>
    </r>
    <r>
      <rPr>
        <vertAlign val="subscript"/>
        <sz val="13.9"/>
        <rFont val="Arial"/>
        <family val="2"/>
      </rPr>
      <t xml:space="preserve">r </t>
    </r>
    <r>
      <rPr>
        <sz val="14"/>
        <rFont val="Arial"/>
        <family val="2"/>
      </rPr>
      <t xml:space="preserve">calculation tool (aka as STI Brimborium *1)</t>
    </r>
  </si>
  <si>
    <t xml:space="preserve">Version 2.90</t>
  </si>
  <si>
    <t xml:space="preserve">beta02</t>
  </si>
  <si>
    <t xml:space="preserve">UL-MTI</t>
  </si>
  <si>
    <t xml:space="preserve">-&gt;</t>
  </si>
  <si>
    <t xml:space="preserve">m, mean</t>
  </si>
  <si>
    <t xml:space="preserve">STI calculation according to DIN EN IEC 60268-16:2021-10 / EN IEC 60268-16:2020</t>
  </si>
  <si>
    <t xml:space="preserve">RT60 app</t>
  </si>
  <si>
    <t xml:space="preserve">RT60 app corr</t>
  </si>
  <si>
    <t xml:space="preserve">STIr calculation for linear time invariant systems with exponential reverberation</t>
  </si>
  <si>
    <t xml:space="preserve">Enter MTI octave values (tested for ULYSSES ≥ 2.90), Signal Level and Noise level from simulation in the green fields </t>
  </si>
  <si>
    <t xml:space="preserve">STIr calculation </t>
  </si>
  <si>
    <t xml:space="preserve">Remarks</t>
  </si>
  <si>
    <t xml:space="preserve">Signal</t>
  </si>
  <si>
    <t xml:space="preserve">125 Hz</t>
  </si>
  <si>
    <t xml:space="preserve">250 Hz</t>
  </si>
  <si>
    <t xml:space="preserve">500 Hz</t>
  </si>
  <si>
    <t xml:space="preserve">1 kHz</t>
  </si>
  <si>
    <t xml:space="preserve">2kHz</t>
  </si>
  <si>
    <t xml:space="preserve">4 kHz</t>
  </si>
  <si>
    <t xml:space="preserve">8 kHz</t>
  </si>
  <si>
    <t xml:space="preserve">Signal-Level, Lt octaves</t>
  </si>
  <si>
    <t xml:space="preserve">Crest Factor, dB</t>
  </si>
  <si>
    <t xml:space="preserve">Speech-Level EQ, male</t>
  </si>
  <si>
    <t xml:space="preserve">Signal SPL Sum Values</t>
  </si>
  <si>
    <t xml:space="preserve">Z weighted</t>
  </si>
  <si>
    <t xml:space="preserve">A weighted</t>
  </si>
  <si>
    <t xml:space="preserve">Signal-Level, current</t>
  </si>
  <si>
    <t xml:space="preserve">Sum of 10*Antilog</t>
  </si>
  <si>
    <t xml:space="preserve">A-weighting (dB)</t>
  </si>
  <si>
    <t xml:space="preserve">Weighted bands</t>
  </si>
  <si>
    <t xml:space="preserve">Noise</t>
  </si>
  <si>
    <t xml:space="preserve">Noise-Level, Ln octaves</t>
  </si>
  <si>
    <t xml:space="preserve">Noise Level</t>
  </si>
  <si>
    <t xml:space="preserve">EQ-Setting</t>
  </si>
  <si>
    <t xml:space="preserve">1 Truck</t>
  </si>
  <si>
    <t xml:space="preserve">EQ active</t>
  </si>
  <si>
    <t xml:space="preserve">100 people</t>
  </si>
  <si>
    <t xml:space="preserve">Noise-Level, current</t>
  </si>
  <si>
    <t xml:space="preserve">Octave MTI from Simulation</t>
  </si>
  <si>
    <t xml:space="preserve">Result</t>
  </si>
  <si>
    <r>
      <rPr>
        <b val="true"/>
        <sz val="14"/>
        <rFont val="Arial"/>
        <family val="2"/>
      </rPr>
      <t xml:space="preserve">STI</t>
    </r>
    <r>
      <rPr>
        <b val="true"/>
        <sz val="10"/>
        <rFont val="Arial"/>
        <family val="2"/>
      </rPr>
      <t xml:space="preserve">r</t>
    </r>
    <r>
      <rPr>
        <b val="true"/>
        <sz val="14"/>
        <rFont val="Arial"/>
        <family val="2"/>
      </rPr>
      <t xml:space="preserve"> =</t>
    </r>
  </si>
  <si>
    <t xml:space="preserve">(male)</t>
  </si>
  <si>
    <t xml:space="preserve">Location</t>
  </si>
  <si>
    <t xml:space="preserve">T1</t>
  </si>
  <si>
    <t xml:space="preserve">Rating</t>
  </si>
  <si>
    <t xml:space="preserve">Intelligibility:</t>
  </si>
  <si>
    <t xml:space="preserve">Information on male Speech-Level Spectrum</t>
  </si>
  <si>
    <t xml:space="preserve">Speech Level EQ (dB)</t>
  </si>
  <si>
    <t xml:space="preserve">(A)</t>
  </si>
  <si>
    <t xml:space="preserve">relative to A weighted and 
linear level octave bands acc. To 60268-16 2020</t>
  </si>
  <si>
    <t xml:space="preserve">(lin)</t>
  </si>
  <si>
    <t xml:space="preserve">All calculations according to DIN EN IEC 60268-16:2021-10 / EN IEC 60268-16:2020</t>
  </si>
  <si>
    <t xml:space="preserve">Credits to Ole Herman Bjor, Norsonic AS, who created the original version</t>
  </si>
  <si>
    <t xml:space="preserve">*1) Credits to Prof. Dr. Anselm Goertz who uses this expression within his Monkey Forest Software</t>
  </si>
  <si>
    <t xml:space="preserve">STI calculation</t>
  </si>
  <si>
    <t xml:space="preserve">Octave</t>
  </si>
  <si>
    <t xml:space="preserve">Mod</t>
  </si>
  <si>
    <t xml:space="preserve">MTI</t>
  </si>
  <si>
    <t xml:space="preserve">Ls [dB]</t>
  </si>
  <si>
    <t xml:space="preserve">Ln [dB]</t>
  </si>
  <si>
    <t xml:space="preserve">Lrs</t>
  </si>
  <si>
    <t xml:space="preserve">Masking level</t>
  </si>
  <si>
    <t xml:space="preserve">Masking</t>
  </si>
  <si>
    <t xml:space="preserve">Cor. Mod</t>
  </si>
  <si>
    <t xml:space="preserve">SNR</t>
  </si>
  <si>
    <t xml:space="preserve">TI</t>
  </si>
  <si>
    <t xml:space="preserve">Alpha</t>
  </si>
  <si>
    <t xml:space="preserve">Beta</t>
  </si>
  <si>
    <t xml:space="preserve">Part 1</t>
  </si>
  <si>
    <t xml:space="preserve">Part 2</t>
  </si>
  <si>
    <t xml:space="preserve">2 kHz</t>
  </si>
  <si>
    <t xml:space="preserve">STI</t>
  </si>
  <si>
    <t xml:space="preserve">Calculation Check for continuous masking function.</t>
  </si>
  <si>
    <t xml:space="preserve">Weighting and redundancy correction factors.</t>
  </si>
  <si>
    <t xml:space="preserve">Level, dB SPL</t>
  </si>
  <si>
    <t xml:space="preserve">&lt; 63</t>
  </si>
  <si>
    <t xml:space="preserve">63-67</t>
  </si>
  <si>
    <t xml:space="preserve">67-100</t>
  </si>
  <si>
    <t xml:space="preserve">&gt;100</t>
  </si>
  <si>
    <t xml:space="preserve">alpha</t>
  </si>
  <si>
    <t xml:space="preserve">amdB</t>
  </si>
  <si>
    <t xml:space="preserve">beta</t>
  </si>
  <si>
    <t xml:space="preserve">-</t>
  </si>
  <si>
    <t xml:space="preserve">amf, single
 (from level)</t>
  </si>
  <si>
    <t xml:space="preserve">masking, tot</t>
  </si>
  <si>
    <t xml:space="preserve">STIr calculation for ULYSSES version 2.90 beta 02</t>
  </si>
  <si>
    <t xml:space="preserve">STIr calculation for linear time invariant systems with exponential reverberation from  ULYSSES 2.90 beta 02 octave MTI simulation results.</t>
  </si>
  <si>
    <r>
      <rPr>
        <sz val="10"/>
        <rFont val="Arial"/>
        <family val="2"/>
      </rPr>
      <t xml:space="preserve">This Excel tool calculates the STI-value according to the DIN EN IEC 60268-16:2021-10 / EN IEC 60268-16:2020</t>
    </r>
    <r>
      <rPr>
        <i val="true"/>
        <sz val="10"/>
        <rFont val="Arial"/>
        <family val="2"/>
      </rPr>
      <t xml:space="preserve">:</t>
    </r>
    <r>
      <rPr>
        <sz val="10"/>
        <rFont val="Arial"/>
        <family val="2"/>
      </rPr>
      <t xml:space="preserve"> </t>
    </r>
    <r>
      <rPr>
        <i val="true"/>
        <sz val="10"/>
        <rFont val="Arial"/>
        <family val="2"/>
      </rPr>
      <t xml:space="preserve">Objective rating of speech intelligibility by speech transmission index</t>
    </r>
    <r>
      <rPr>
        <sz val="10"/>
        <rFont val="Arial"/>
        <family val="2"/>
      </rPr>
      <t xml:space="preserve">. The method considers background noise and masking effect as well as the threshold of hearing.</t>
    </r>
  </si>
  <si>
    <t xml:space="preserve">The basis for the calculation is that each octave band filtered impulse response for the room has an exponential form and can thus be characterised by a reverberation time. The acoustic system is also assumed to be linear and time invariant.. The calulation should not be used as an alternative to real measurements.</t>
  </si>
  <si>
    <r>
      <rPr>
        <sz val="10"/>
        <color rgb="FFC9211E"/>
        <rFont val="Arial"/>
        <family val="2"/>
      </rPr>
      <t xml:space="preserve">For using the tool - enter input values in the green fields on the sheet </t>
    </r>
    <r>
      <rPr>
        <b val="true"/>
        <sz val="10"/>
        <color rgb="FFC9211E"/>
        <rFont val="Arial"/>
        <family val="2"/>
      </rPr>
      <t xml:space="preserve">Main:</t>
    </r>
  </si>
  <si>
    <t xml:space="preserve">MTI,  enter values from simulation results for each octave  (tested for ULYSSES ≥ 2.90_beta02)</t>
  </si>
  <si>
    <r>
      <rPr>
        <b val="true"/>
        <sz val="10"/>
        <color rgb="FFC9211E"/>
        <rFont val="Arial"/>
        <family val="2"/>
      </rPr>
      <t xml:space="preserve">Signal-Level</t>
    </r>
    <r>
      <rPr>
        <sz val="10"/>
        <color rgb="FFC9211E"/>
        <rFont val="Arial"/>
        <family val="2"/>
      </rPr>
      <t xml:space="preserve"> is the speech-level at the test location. Enter the Lt value for each octave.</t>
    </r>
  </si>
  <si>
    <r>
      <rPr>
        <b val="true"/>
        <sz val="10"/>
        <color rgb="FFC9211E"/>
        <rFont val="Arial"/>
        <family val="2"/>
      </rPr>
      <t xml:space="preserve">Noise-Level </t>
    </r>
    <r>
      <rPr>
        <sz val="10"/>
        <color rgb="FFC9211E"/>
        <rFont val="Arial"/>
        <family val="2"/>
      </rPr>
      <t xml:space="preserve">is the background noise level in the point in the room.</t>
    </r>
  </si>
  <si>
    <r>
      <rPr>
        <b val="true"/>
        <sz val="10"/>
        <color rgb="FFC9211E"/>
        <rFont val="Arial"/>
        <family val="2"/>
      </rPr>
      <t xml:space="preserve">STIr</t>
    </r>
    <r>
      <rPr>
        <sz val="10"/>
        <color rgb="FFC9211E"/>
        <rFont val="Arial"/>
        <family val="2"/>
      </rPr>
      <t xml:space="preserve"> is the calculated result including continuosly level dependent Auditory Masking, Background Noise and Redundancy Correction according to </t>
    </r>
    <r>
      <rPr>
        <sz val="10"/>
        <rFont val="Arial"/>
        <family val="2"/>
      </rPr>
      <t xml:space="preserve"> </t>
    </r>
    <r>
      <rPr>
        <sz val="10"/>
        <color rgb="FFC9211E"/>
        <rFont val="Arial"/>
        <family val="2"/>
      </rPr>
      <t xml:space="preserve">DIN EN IEC 60268-16:2021-10 / EN IEC 60268-16:2020</t>
    </r>
  </si>
  <si>
    <t xml:space="preserve">The base for this tool has originally been written by: </t>
  </si>
  <si>
    <t xml:space="preserve">Ole-Herman Bjor</t>
  </si>
  <si>
    <t xml:space="preserve">Norsonic AS - Norway</t>
  </si>
  <si>
    <t xml:space="preserve">2004-03-25</t>
  </si>
  <si>
    <t xml:space="preserve">Copyright for the original tool belongs to Norsonic AS. Norsonic stated: The tool can be copied and used freely as long as not sold. Norsonic takes no responsibility for errors in the calculation or use of results.</t>
  </si>
  <si>
    <t xml:space="preserve">The modification of this tool for use with ULYSSES 2.90 Software has originally been written by: </t>
  </si>
  <si>
    <t xml:space="preserve">Volker Löwer</t>
  </si>
  <si>
    <t xml:space="preserve">IFBsoft GbR</t>
  </si>
  <si>
    <t xml:space="preserve">Ginsheimer Str. 1</t>
  </si>
  <si>
    <t xml:space="preserve">65462 Ginsheim-Gustavsburg</t>
  </si>
  <si>
    <t xml:space="preserve">Germany</t>
  </si>
  <si>
    <t xml:space="preserve">Mail: info@ifbsoft.de</t>
  </si>
  <si>
    <t xml:space="preserve">Date: 2025-03-27</t>
  </si>
  <si>
    <t xml:space="preserve">Copyright for the modified tool belongs to IFBsoft. The tool can be copied and used freely as long as not sold. IFBsoft takes no responsibility for errors in the calculation or use of results.</t>
  </si>
  <si>
    <t xml:space="preserve">in</t>
  </si>
  <si>
    <t xml:space="preserve">T60 UL</t>
  </si>
  <si>
    <t xml:space="preserve">TI UL diffuse</t>
  </si>
  <si>
    <t xml:space="preserve">T60 virt</t>
  </si>
  <si>
    <t xml:space="preserve">T60virt</t>
  </si>
  <si>
    <t xml:space="preserve">T60</t>
  </si>
  <si>
    <t xml:space="preserve">X3</t>
  </si>
  <si>
    <t xml:space="preserve">X 3</t>
  </si>
  <si>
    <t xml:space="preserve">x2 </t>
  </si>
  <si>
    <t xml:space="preserve">x1</t>
  </si>
</sst>
</file>

<file path=xl/styles.xml><?xml version="1.0" encoding="utf-8"?>
<styleSheet xmlns="http://schemas.openxmlformats.org/spreadsheetml/2006/main">
  <numFmts count="8">
    <numFmt numFmtId="164" formatCode="General"/>
    <numFmt numFmtId="165" formatCode="0.0"/>
    <numFmt numFmtId="166" formatCode="0"/>
    <numFmt numFmtId="167" formatCode="General"/>
    <numFmt numFmtId="168" formatCode="0.00"/>
    <numFmt numFmtId="169" formatCode="0.000"/>
    <numFmt numFmtId="170" formatCode="@"/>
    <numFmt numFmtId="171" formatCode="0.0000"/>
  </numFmts>
  <fonts count="36">
    <font>
      <sz val="10"/>
      <name val="Arial"/>
      <family val="0"/>
    </font>
    <font>
      <sz val="10"/>
      <name val="Arial"/>
      <family val="0"/>
    </font>
    <font>
      <sz val="10"/>
      <name val="Arial"/>
      <family val="0"/>
    </font>
    <font>
      <sz val="10"/>
      <name val="Arial"/>
      <family val="0"/>
    </font>
    <font>
      <sz val="10"/>
      <color rgb="FFFFFFFF"/>
      <name val="Arial"/>
      <family val="0"/>
    </font>
    <font>
      <b val="true"/>
      <sz val="10"/>
      <color rgb="FF000000"/>
      <name val="Arial"/>
      <family val="0"/>
    </font>
    <font>
      <sz val="10"/>
      <color rgb="FFCC0000"/>
      <name val="Arial"/>
      <family val="0"/>
    </font>
    <font>
      <b val="true"/>
      <sz val="10"/>
      <color rgb="FFFFFFFF"/>
      <name val="Arial"/>
      <family val="0"/>
    </font>
    <font>
      <i val="true"/>
      <sz val="10"/>
      <color rgb="FF808080"/>
      <name val="Arial"/>
      <family val="0"/>
    </font>
    <font>
      <sz val="10"/>
      <color rgb="FF006600"/>
      <name val="Arial"/>
      <family val="0"/>
    </font>
    <font>
      <sz val="18"/>
      <color rgb="FF000000"/>
      <name val="Arial"/>
      <family val="0"/>
    </font>
    <font>
      <sz val="12"/>
      <color rgb="FF000000"/>
      <name val="Arial"/>
      <family val="0"/>
    </font>
    <font>
      <b val="true"/>
      <sz val="24"/>
      <color rgb="FF000000"/>
      <name val="Arial"/>
      <family val="0"/>
    </font>
    <font>
      <u val="single"/>
      <sz val="10"/>
      <color rgb="FF0000EE"/>
      <name val="Arial"/>
      <family val="0"/>
    </font>
    <font>
      <sz val="10"/>
      <color rgb="FF996600"/>
      <name val="Arial"/>
      <family val="0"/>
    </font>
    <font>
      <sz val="10"/>
      <color rgb="FF333333"/>
      <name val="Arial"/>
      <family val="0"/>
    </font>
    <font>
      <sz val="14"/>
      <name val="Arial"/>
      <family val="2"/>
    </font>
    <font>
      <vertAlign val="subscript"/>
      <sz val="13.9"/>
      <name val="Arial"/>
      <family val="2"/>
    </font>
    <font>
      <b val="true"/>
      <sz val="15"/>
      <name val="Arial"/>
      <family val="0"/>
    </font>
    <font>
      <b val="true"/>
      <sz val="15"/>
      <color rgb="FFC9211E"/>
      <name val="Arial"/>
      <family val="0"/>
    </font>
    <font>
      <sz val="8"/>
      <name val="Arial"/>
      <family val="0"/>
    </font>
    <font>
      <b val="true"/>
      <sz val="12"/>
      <name val="Arial"/>
      <family val="0"/>
    </font>
    <font>
      <b val="true"/>
      <sz val="12"/>
      <color rgb="FFC9211E"/>
      <name val="Arial"/>
      <family val="0"/>
    </font>
    <font>
      <b val="true"/>
      <sz val="10"/>
      <name val="Arial"/>
      <family val="2"/>
    </font>
    <font>
      <b val="true"/>
      <sz val="10"/>
      <name val="Arial"/>
      <family val="0"/>
    </font>
    <font>
      <b val="true"/>
      <sz val="10"/>
      <color rgb="FFC9211E"/>
      <name val="Arial"/>
      <family val="0"/>
    </font>
    <font>
      <sz val="10"/>
      <name val="Arial"/>
      <family val="2"/>
    </font>
    <font>
      <b val="true"/>
      <sz val="14"/>
      <name val="Arial"/>
      <family val="2"/>
    </font>
    <font>
      <b val="true"/>
      <sz val="14"/>
      <name val="Arial"/>
      <family val="0"/>
    </font>
    <font>
      <b val="true"/>
      <sz val="10"/>
      <color rgb="FFFF0000"/>
      <name val="Arial"/>
      <family val="0"/>
    </font>
    <font>
      <sz val="10"/>
      <color rgb="FF000000"/>
      <name val="Arial"/>
      <family val="0"/>
    </font>
    <font>
      <b val="true"/>
      <sz val="10"/>
      <color rgb="FFCE181E"/>
      <name val="Arial"/>
      <family val="0"/>
    </font>
    <font>
      <sz val="8"/>
      <color rgb="FF000000"/>
      <name val="Tahoma"/>
      <family val="0"/>
    </font>
    <font>
      <i val="true"/>
      <sz val="10"/>
      <name val="Arial"/>
      <family val="2"/>
    </font>
    <font>
      <sz val="10"/>
      <color rgb="FFC9211E"/>
      <name val="Arial"/>
      <family val="2"/>
    </font>
    <font>
      <b val="true"/>
      <sz val="10"/>
      <color rgb="FFC9211E"/>
      <name val="Arial"/>
      <family val="2"/>
    </font>
  </fonts>
  <fills count="16">
    <fill>
      <patternFill patternType="none"/>
    </fill>
    <fill>
      <patternFill patternType="gray125"/>
    </fill>
    <fill>
      <patternFill patternType="solid">
        <fgColor rgb="FF000000"/>
        <bgColor rgb="FF003300"/>
      </patternFill>
    </fill>
    <fill>
      <patternFill patternType="solid">
        <fgColor rgb="FF808080"/>
        <bgColor rgb="FF666699"/>
      </patternFill>
    </fill>
    <fill>
      <patternFill patternType="solid">
        <fgColor rgb="FFDDDDDD"/>
        <bgColor rgb="FFDEDEDE"/>
      </patternFill>
    </fill>
    <fill>
      <patternFill patternType="solid">
        <fgColor rgb="FFFFCCCC"/>
        <bgColor rgb="FFDDDDDD"/>
      </patternFill>
    </fill>
    <fill>
      <patternFill patternType="solid">
        <fgColor rgb="FFCC0000"/>
        <bgColor rgb="FFCE181E"/>
      </patternFill>
    </fill>
    <fill>
      <patternFill patternType="solid">
        <fgColor rgb="FFCCFFCC"/>
        <bgColor rgb="FFEEEEEE"/>
      </patternFill>
    </fill>
    <fill>
      <patternFill patternType="solid">
        <fgColor rgb="FFFFFFCC"/>
        <bgColor rgb="FFFFFFA6"/>
      </patternFill>
    </fill>
    <fill>
      <patternFill patternType="solid">
        <fgColor rgb="FFEEEEEE"/>
        <bgColor rgb="FFDEDEDE"/>
      </patternFill>
    </fill>
    <fill>
      <patternFill patternType="solid">
        <fgColor rgb="FFFF99CC"/>
        <bgColor rgb="FFFF8080"/>
      </patternFill>
    </fill>
    <fill>
      <patternFill patternType="solid">
        <fgColor rgb="FFFFFF00"/>
        <bgColor rgb="FFFFF200"/>
      </patternFill>
    </fill>
    <fill>
      <patternFill patternType="solid">
        <fgColor rgb="FFFFFFA6"/>
        <bgColor rgb="FFFFFFCC"/>
      </patternFill>
    </fill>
    <fill>
      <patternFill patternType="solid">
        <fgColor rgb="FFB2B2B2"/>
        <bgColor rgb="FFB3B3B3"/>
      </patternFill>
    </fill>
    <fill>
      <patternFill patternType="solid">
        <fgColor rgb="FFFFF200"/>
        <bgColor rgb="FFFFFF00"/>
      </patternFill>
    </fill>
    <fill>
      <patternFill patternType="solid">
        <fgColor rgb="FFCCCCCC"/>
        <bgColor rgb="FFDDDDDD"/>
      </patternFill>
    </fill>
  </fills>
  <borders count="8">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DEDEDE"/>
      </left>
      <right style="thin">
        <color rgb="FFDEDEDE"/>
      </right>
      <top/>
      <bottom style="thin">
        <color rgb="FFDEDEDE"/>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right/>
      <top/>
      <bottom style="thin">
        <color rgb="FFDEDEDE"/>
      </bottom>
      <diagonal/>
    </border>
    <border diagonalUp="false" diagonalDown="false">
      <left style="thin"/>
      <right/>
      <top style="thin"/>
      <bottom style="thin"/>
      <diagonal/>
    </border>
    <border diagonalUp="false" diagonalDown="false">
      <left/>
      <right style="thin"/>
      <top style="thin"/>
      <bottom style="thin"/>
      <diagonal/>
    </border>
  </borders>
  <cellStyleXfs count="3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7" fillId="6" borderId="0" applyFont="true" applyBorder="false" applyAlignment="true" applyProtection="false">
      <alignment horizontal="general" vertical="bottom" textRotation="0" wrapText="false" indent="0" shrinkToFit="false"/>
    </xf>
    <xf numFmtId="164" fontId="8" fillId="0" borderId="0" applyFont="true" applyBorder="false" applyAlignment="true" applyProtection="false">
      <alignment horizontal="general" vertical="bottom" textRotation="0" wrapText="false" indent="0" shrinkToFit="false"/>
    </xf>
    <xf numFmtId="164" fontId="9" fillId="7" borderId="0" applyFont="true" applyBorder="false" applyAlignment="true" applyProtection="false">
      <alignment horizontal="general" vertical="bottom" textRotation="0" wrapText="false" indent="0" shrinkToFit="false"/>
    </xf>
    <xf numFmtId="164" fontId="10"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4" fillId="8" borderId="0" applyFont="true" applyBorder="false" applyAlignment="true" applyProtection="false">
      <alignment horizontal="general" vertical="bottom" textRotation="0" wrapText="false" indent="0" shrinkToFit="false"/>
    </xf>
    <xf numFmtId="164" fontId="15" fillId="8" borderId="1" applyFont="true" applyBorder="tru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cellStyleXfs>
  <cellXfs count="8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4" fontId="19" fillId="0" borderId="0" xfId="0" applyFont="true" applyBorder="false" applyAlignment="true" applyProtection="true">
      <alignment horizontal="center"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center" vertical="bottom"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24" fillId="9" borderId="0" xfId="0" applyFont="true" applyBorder="true" applyAlignment="true" applyProtection="true">
      <alignment horizontal="center" vertical="bottom" textRotation="0" wrapText="false" indent="0" shrinkToFit="false"/>
      <protection locked="true" hidden="false"/>
    </xf>
    <xf numFmtId="164" fontId="24" fillId="9" borderId="0" xfId="0" applyFont="true" applyBorder="false" applyAlignment="true" applyProtection="true">
      <alignment horizontal="center" vertical="bottom" textRotation="0" wrapText="false" indent="0" shrinkToFit="false"/>
      <protection locked="true" hidden="false"/>
    </xf>
    <xf numFmtId="164" fontId="0" fillId="10" borderId="2" xfId="0" applyFont="true" applyBorder="true" applyAlignment="true" applyProtection="true">
      <alignment horizontal="center" vertical="bottom" textRotation="0" wrapText="false" indent="0" shrinkToFit="false"/>
      <protection locked="true" hidden="false"/>
    </xf>
    <xf numFmtId="164" fontId="0" fillId="9" borderId="0" xfId="0" applyFont="false" applyBorder="false" applyAlignment="true" applyProtection="true">
      <alignment horizontal="center"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5" fontId="24" fillId="7" borderId="3" xfId="0" applyFont="true" applyBorder="true" applyAlignment="true" applyProtection="true">
      <alignment horizontal="center" vertical="bottom" textRotation="0" wrapText="false" indent="0" shrinkToFit="false"/>
      <protection locked="false" hidden="false"/>
    </xf>
    <xf numFmtId="164" fontId="24" fillId="0" borderId="3" xfId="0" applyFont="true" applyBorder="true" applyAlignment="true" applyProtection="true">
      <alignment horizontal="general" vertical="bottom" textRotation="0" wrapText="false" indent="0" shrinkToFit="false"/>
      <protection locked="true" hidden="false"/>
    </xf>
    <xf numFmtId="164" fontId="0" fillId="9" borderId="0" xfId="0" applyFont="false" applyBorder="false" applyAlignment="true" applyProtection="true">
      <alignment horizontal="center" vertical="bottom" textRotation="0" wrapText="false" indent="0" shrinkToFit="false"/>
      <protection locked="false" hidden="false"/>
    </xf>
    <xf numFmtId="165" fontId="0" fillId="11" borderId="4" xfId="0" applyFont="false" applyBorder="true" applyAlignment="true" applyProtection="true">
      <alignment horizontal="center" vertical="bottom" textRotation="0" wrapText="false" indent="0" shrinkToFit="false"/>
      <protection locked="true" hidden="false"/>
    </xf>
    <xf numFmtId="165" fontId="0" fillId="7" borderId="3" xfId="0" applyFont="false" applyBorder="true" applyAlignment="true" applyProtection="true">
      <alignment horizontal="center" vertical="bottom" textRotation="0" wrapText="false" indent="0" shrinkToFit="false"/>
      <protection locked="false" hidden="false"/>
    </xf>
    <xf numFmtId="166" fontId="0" fillId="7" borderId="3" xfId="0" applyFont="false" applyBorder="true" applyAlignment="true" applyProtection="true">
      <alignment horizontal="center" vertical="bottom" textRotation="0" wrapText="false" indent="0" shrinkToFit="false"/>
      <protection locked="false" hidden="false"/>
    </xf>
    <xf numFmtId="165" fontId="0" fillId="12" borderId="4" xfId="0" applyFont="false" applyBorder="true" applyAlignment="true" applyProtection="true">
      <alignment horizontal="center" vertical="bottom" textRotation="0" wrapText="false" indent="0" shrinkToFit="false"/>
      <protection locked="true" hidden="false"/>
    </xf>
    <xf numFmtId="165" fontId="0" fillId="9" borderId="4" xfId="0" applyFont="false" applyBorder="true" applyAlignment="true" applyProtection="true">
      <alignment horizontal="center" vertical="bottom" textRotation="0" wrapText="false" indent="0" shrinkToFit="false"/>
      <protection locked="true" hidden="false"/>
    </xf>
    <xf numFmtId="164" fontId="24" fillId="9" borderId="3" xfId="0" applyFont="true" applyBorder="true" applyAlignment="true" applyProtection="true">
      <alignment horizontal="center" vertical="bottom" textRotation="0" wrapText="false" indent="0" shrinkToFit="false"/>
      <protection locked="true" hidden="false"/>
    </xf>
    <xf numFmtId="164" fontId="24" fillId="9" borderId="3" xfId="0" applyFont="true" applyBorder="true" applyAlignment="true" applyProtection="true">
      <alignment horizontal="general" vertical="bottom" textRotation="0" wrapText="fals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5" fontId="24" fillId="0" borderId="0" xfId="0" applyFont="true" applyBorder="false" applyAlignment="true" applyProtection="true">
      <alignment horizontal="center" vertical="bottom" textRotation="0" wrapText="false" indent="0" shrinkToFit="false"/>
      <protection locked="true" hidden="false"/>
    </xf>
    <xf numFmtId="165" fontId="25" fillId="9" borderId="3" xfId="0" applyFont="true" applyBorder="true" applyAlignment="true" applyProtection="true">
      <alignment horizontal="center" vertical="bottom" textRotation="0" wrapText="false" indent="0" shrinkToFit="false"/>
      <protection locked="true" hidden="false"/>
    </xf>
    <xf numFmtId="164" fontId="0" fillId="9" borderId="0" xfId="0" applyFont="true" applyBorder="false" applyAlignment="true" applyProtection="true">
      <alignment horizontal="general" vertical="bottom" textRotation="0" wrapText="false" indent="0" shrinkToFit="false"/>
      <protection locked="true" hidden="false"/>
    </xf>
    <xf numFmtId="167" fontId="26" fillId="9" borderId="0" xfId="0" applyFont="true" applyBorder="false" applyAlignment="true" applyProtection="true">
      <alignment horizontal="center" vertical="bottom" textRotation="0" wrapText="false" indent="0" shrinkToFit="false"/>
      <protection locked="true" hidden="false"/>
    </xf>
    <xf numFmtId="167" fontId="0" fillId="9" borderId="0" xfId="0" applyFont="fals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4" fillId="0" borderId="0" xfId="0" applyFont="true" applyBorder="false" applyAlignment="true" applyProtection="true">
      <alignment horizontal="center" vertical="bottom" textRotation="0" wrapText="false" indent="0" shrinkToFit="false"/>
      <protection locked="true" hidden="false"/>
    </xf>
    <xf numFmtId="168" fontId="24" fillId="7" borderId="3"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27" fillId="9" borderId="0" xfId="0" applyFont="true" applyBorder="false" applyAlignment="true" applyProtection="true">
      <alignment horizontal="center" vertical="bottom" textRotation="0" wrapText="false" indent="0" shrinkToFit="false"/>
      <protection locked="true" hidden="false"/>
    </xf>
    <xf numFmtId="168" fontId="27" fillId="9" borderId="0" xfId="0" applyFont="true" applyBorder="false" applyAlignment="true" applyProtection="true">
      <alignment horizontal="left" vertical="bottom" textRotation="0" wrapText="false" indent="0" shrinkToFit="false"/>
      <protection locked="true" hidden="false"/>
    </xf>
    <xf numFmtId="164" fontId="28" fillId="9" borderId="0" xfId="0" applyFont="true" applyBorder="false" applyAlignment="true" applyProtection="true">
      <alignment horizontal="general" vertical="bottom" textRotation="0" wrapText="false" indent="0" shrinkToFit="false"/>
      <protection locked="true" hidden="false"/>
    </xf>
    <xf numFmtId="166" fontId="29" fillId="7" borderId="0" xfId="0" applyFont="true" applyBorder="true" applyAlignment="true" applyProtection="true">
      <alignment horizontal="center" vertical="bottom" textRotation="0" wrapText="false" indent="0" shrinkToFit="false"/>
      <protection locked="false" hidden="false"/>
    </xf>
    <xf numFmtId="164" fontId="27" fillId="0" borderId="5" xfId="0" applyFont="true" applyBorder="true" applyAlignment="true" applyProtection="true">
      <alignment horizontal="left" vertical="bottom" textRotation="0" wrapText="false" indent="0" shrinkToFit="false"/>
      <protection locked="true" hidden="false"/>
    </xf>
    <xf numFmtId="167" fontId="27" fillId="0" borderId="5" xfId="0" applyFont="true" applyBorder="true" applyAlignment="true" applyProtection="true">
      <alignment horizontal="general" vertical="bottom" textRotation="0" wrapText="false" indent="0" shrinkToFit="false"/>
      <protection locked="true" hidden="false"/>
    </xf>
    <xf numFmtId="164" fontId="24" fillId="0" borderId="0" xfId="0" applyFont="true" applyBorder="true" applyAlignment="true" applyProtection="true">
      <alignment horizontal="center" vertical="bottom" textRotation="0" wrapText="false" indent="0" shrinkToFit="false"/>
      <protection locked="true" hidden="false"/>
    </xf>
    <xf numFmtId="164" fontId="24" fillId="13" borderId="0" xfId="0" applyFont="true" applyBorder="true" applyAlignment="true" applyProtection="true">
      <alignment horizontal="general" vertical="bottom" textRotation="0" wrapText="false" indent="0" shrinkToFit="false"/>
      <protection locked="true" hidden="false"/>
    </xf>
    <xf numFmtId="164" fontId="24" fillId="0" borderId="0" xfId="0" applyFont="true" applyBorder="true" applyAlignment="true" applyProtection="true">
      <alignment horizontal="general" vertical="bottom" textRotation="0" wrapText="false" indent="0" shrinkToFit="false"/>
      <protection locked="true" hidden="false"/>
    </xf>
    <xf numFmtId="165" fontId="30" fillId="0" borderId="6" xfId="0" applyFont="true" applyBorder="true" applyAlignment="true" applyProtection="true">
      <alignment horizontal="center" vertical="bottom" textRotation="0" wrapText="false" indent="0" shrinkToFit="false"/>
      <protection locked="true" hidden="false"/>
    </xf>
    <xf numFmtId="165" fontId="30" fillId="0" borderId="4" xfId="0" applyFont="true" applyBorder="true" applyAlignment="true" applyProtection="true">
      <alignment horizontal="center" vertical="bottom" textRotation="0" wrapText="false" indent="0" shrinkToFit="false"/>
      <protection locked="true" hidden="false"/>
    </xf>
    <xf numFmtId="165" fontId="30" fillId="0" borderId="7" xfId="0" applyFont="true" applyBorder="tru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9"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0" fillId="7" borderId="0" xfId="0" applyFont="true" applyBorder="false" applyAlignment="true" applyProtection="true">
      <alignment horizontal="center" vertical="bottom" textRotation="0" wrapText="false" indent="0" shrinkToFit="false"/>
      <protection locked="true" hidden="false"/>
    </xf>
    <xf numFmtId="168" fontId="24" fillId="7" borderId="0" xfId="0" applyFont="true" applyBorder="false" applyAlignment="true" applyProtection="true">
      <alignment horizontal="center" vertical="bottom" textRotation="0" wrapText="false" indent="0" shrinkToFit="false"/>
      <protection locked="true" hidden="false"/>
    </xf>
    <xf numFmtId="165" fontId="0" fillId="7" borderId="0" xfId="0" applyFont="true" applyBorder="false" applyAlignment="true" applyProtection="true">
      <alignment horizontal="center" vertical="bottom" textRotation="0" wrapText="false" indent="0" shrinkToFit="false"/>
      <protection locked="true" hidden="false"/>
    </xf>
    <xf numFmtId="169" fontId="0" fillId="0" borderId="0" xfId="0" applyFont="false" applyBorder="false" applyAlignment="true" applyProtection="true">
      <alignment horizontal="center" vertical="bottom" textRotation="0" wrapText="false" indent="0" shrinkToFit="false"/>
      <protection locked="true" hidden="false"/>
    </xf>
    <xf numFmtId="167" fontId="0" fillId="14" borderId="0" xfId="0" applyFont="false" applyBorder="false" applyAlignment="true" applyProtection="true">
      <alignment horizontal="general" vertical="bottom" textRotation="0" wrapText="false" indent="0" shrinkToFit="false"/>
      <protection locked="true" hidden="false"/>
    </xf>
    <xf numFmtId="164" fontId="0" fillId="7" borderId="0" xfId="0" applyFont="false" applyBorder="false" applyAlignment="true" applyProtection="true">
      <alignment horizontal="general" vertical="bottom" textRotation="0" wrapText="false" indent="0" shrinkToFit="false"/>
      <protection locked="true" hidden="false"/>
    </xf>
    <xf numFmtId="164" fontId="31" fillId="14" borderId="0" xfId="0" applyFont="true" applyBorder="false" applyAlignment="true" applyProtection="true">
      <alignment horizontal="center" vertical="bottom" textRotation="0" wrapText="false" indent="0" shrinkToFit="false"/>
      <protection locked="true" hidden="false"/>
    </xf>
    <xf numFmtId="164" fontId="20" fillId="15" borderId="3" xfId="0" applyFont="true" applyBorder="true" applyAlignment="true" applyProtection="true">
      <alignment horizontal="general" vertical="bottom" textRotation="0" wrapText="false" indent="0" shrinkToFit="false"/>
      <protection locked="true" hidden="false"/>
    </xf>
    <xf numFmtId="164" fontId="0" fillId="15" borderId="3" xfId="0" applyFont="false" applyBorder="true" applyAlignment="true" applyProtection="true">
      <alignment horizontal="general" vertical="bottom" textRotation="0" wrapText="false" indent="0" shrinkToFit="false"/>
      <protection locked="true" hidden="false"/>
    </xf>
    <xf numFmtId="164" fontId="24" fillId="15" borderId="3" xfId="0" applyFont="true" applyBorder="true" applyAlignment="true" applyProtection="true">
      <alignment horizontal="center" vertical="bottom" textRotation="0" wrapText="false" indent="0" shrinkToFit="false"/>
      <protection locked="true" hidden="false"/>
    </xf>
    <xf numFmtId="164" fontId="0" fillId="10" borderId="3" xfId="0" applyFont="true" applyBorder="true" applyAlignment="true" applyProtection="true">
      <alignment horizontal="center" vertical="bottom" textRotation="0" wrapText="false" indent="0" shrinkToFit="false"/>
      <protection locked="true" hidden="false"/>
    </xf>
    <xf numFmtId="167" fontId="0" fillId="15" borderId="3" xfId="0" applyFont="false" applyBorder="true" applyAlignment="true" applyProtection="true">
      <alignment horizontal="center" vertical="bottom" textRotation="0" wrapText="false" indent="0" shrinkToFit="false"/>
      <protection locked="true" hidden="false"/>
    </xf>
    <xf numFmtId="164" fontId="0" fillId="15" borderId="3" xfId="0" applyFont="true" applyBorder="true" applyAlignment="true" applyProtection="true">
      <alignment horizontal="center" vertical="bottom" textRotation="0" wrapText="false" indent="0" shrinkToFit="false"/>
      <protection locked="true" hidden="false"/>
    </xf>
    <xf numFmtId="164" fontId="0" fillId="15" borderId="3" xfId="0" applyFont="true" applyBorder="true" applyAlignment="true" applyProtection="true">
      <alignment horizontal="general" vertical="bottom" textRotation="0" wrapText="true" indent="0" shrinkToFit="false"/>
      <protection locked="true" hidden="false"/>
    </xf>
    <xf numFmtId="164" fontId="0" fillId="13" borderId="0" xfId="0" applyFont="true" applyBorder="false" applyAlignment="true" applyProtection="true">
      <alignment horizontal="general" vertical="bottom" textRotation="0" wrapText="false" indent="0" shrinkToFit="false"/>
      <protection locked="true" hidden="false"/>
    </xf>
    <xf numFmtId="167" fontId="0" fillId="13" borderId="0" xfId="0" applyFont="false" applyBorder="tru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27" fillId="13" borderId="0" xfId="0" applyFont="true" applyBorder="false" applyAlignment="true" applyProtection="true">
      <alignment horizontal="general" vertical="bottom" textRotation="0" wrapText="false" indent="0" shrinkToFit="false"/>
      <protection locked="true" hidden="false"/>
    </xf>
    <xf numFmtId="170" fontId="23" fillId="0" borderId="0" xfId="0" applyFont="true" applyBorder="false" applyAlignment="true" applyProtection="true">
      <alignment horizontal="general" vertical="bottom" textRotation="0" wrapText="true" indent="0" shrinkToFit="false"/>
      <protection locked="true" hidden="false"/>
    </xf>
    <xf numFmtId="170" fontId="26" fillId="0" borderId="0" xfId="0" applyFont="true" applyBorder="false" applyAlignment="true" applyProtection="true">
      <alignment horizontal="general" vertical="bottom" textRotation="0" wrapText="true" indent="0" shrinkToFit="false"/>
      <protection locked="true" hidden="false"/>
    </xf>
    <xf numFmtId="166" fontId="34" fillId="11" borderId="3" xfId="0" applyFont="true" applyBorder="true" applyAlignment="true" applyProtection="true">
      <alignment horizontal="left" vertical="bottom" textRotation="0" wrapText="false" indent="0" shrinkToFit="false"/>
      <protection locked="true" hidden="false"/>
    </xf>
    <xf numFmtId="164" fontId="25" fillId="11" borderId="0" xfId="0" applyFont="true" applyBorder="false" applyAlignment="true" applyProtection="true">
      <alignment horizontal="general" vertical="bottom" textRotation="0" wrapText="false" indent="0" shrinkToFit="false"/>
      <protection locked="true" hidden="false"/>
    </xf>
    <xf numFmtId="170" fontId="35" fillId="11" borderId="0" xfId="0" applyFont="true" applyBorder="false" applyAlignment="true" applyProtection="true">
      <alignment horizontal="general" vertical="bottom" textRotation="0" wrapText="true" indent="0" shrinkToFit="false"/>
      <protection locked="true" hidden="false"/>
    </xf>
    <xf numFmtId="164" fontId="35" fillId="11"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5" fillId="11" borderId="0" xfId="0" applyFont="true" applyBorder="false" applyAlignment="true" applyProtection="true">
      <alignment horizontal="general" vertical="bottom" textRotation="0" wrapText="true" indent="0" shrinkToFit="false"/>
      <protection locked="true" hidden="false"/>
    </xf>
    <xf numFmtId="170" fontId="26" fillId="13" borderId="0" xfId="0" applyFont="true" applyBorder="false" applyAlignment="true" applyProtection="true">
      <alignment horizontal="general" vertical="bottom" textRotation="0" wrapText="true" indent="0" shrinkToFit="false"/>
      <protection locked="true" hidden="false"/>
    </xf>
    <xf numFmtId="170" fontId="0" fillId="13" borderId="0" xfId="0" applyFont="true" applyBorder="false" applyAlignment="true" applyProtection="true">
      <alignment horizontal="general" vertical="bottom" textRotation="0" wrapText="true" indent="0" shrinkToFit="false"/>
      <protection locked="true" hidden="false"/>
    </xf>
    <xf numFmtId="170" fontId="0" fillId="0" borderId="0" xfId="0" applyFont="true" applyBorder="false" applyAlignment="true" applyProtection="true">
      <alignment horizontal="general" vertical="bottom" textRotation="0" wrapText="true" indent="0" shrinkToFit="false"/>
      <protection locked="true" hidden="false"/>
    </xf>
    <xf numFmtId="164" fontId="25" fillId="11" borderId="0" xfId="0" applyFont="true" applyBorder="false" applyAlignment="true" applyProtection="true">
      <alignment horizontal="center" vertical="bottom" textRotation="0" wrapText="false" indent="0" shrinkToFit="false"/>
      <protection locked="true" hidden="false"/>
    </xf>
    <xf numFmtId="168" fontId="0" fillId="0" borderId="0" xfId="0" applyFont="false" applyBorder="false" applyAlignment="true" applyProtection="true">
      <alignment horizontal="general" vertical="bottom" textRotation="0" wrapText="false" indent="0" shrinkToFit="false"/>
      <protection locked="true" hidden="false"/>
    </xf>
    <xf numFmtId="171" fontId="0" fillId="0" borderId="0" xfId="0" applyFont="false" applyBorder="false" applyAlignment="true" applyProtection="true">
      <alignment horizontal="general" vertical="bottom" textRotation="0" wrapText="false" indent="0" shrinkToFit="false"/>
      <protection locked="true" hidden="false"/>
    </xf>
  </cellXfs>
  <cellStyles count="23">
    <cellStyle name="Normal" xfId="0" builtinId="0"/>
    <cellStyle name="Comma" xfId="15" builtinId="3"/>
    <cellStyle name="Comma [0]" xfId="16" builtinId="6"/>
    <cellStyle name="Currency" xfId="17" builtinId="4"/>
    <cellStyle name="Currency [0]" xfId="18" builtinId="7"/>
    <cellStyle name="Percent" xfId="19" builtinId="5"/>
    <cellStyle name="Accent 1 1" xfId="20"/>
    <cellStyle name="Accent 2 1" xfId="21"/>
    <cellStyle name="Accent 3 1" xfId="22"/>
    <cellStyle name="Accent 4" xfId="23"/>
    <cellStyle name="Bad 1" xfId="24"/>
    <cellStyle name="Error 1" xfId="25"/>
    <cellStyle name="Footnote 1" xfId="26"/>
    <cellStyle name="Good 1" xfId="27"/>
    <cellStyle name="Heading 1 1" xfId="28"/>
    <cellStyle name="Heading 2 1" xfId="29"/>
    <cellStyle name="Heading 3" xfId="30"/>
    <cellStyle name="Hyperlink 1" xfId="31"/>
    <cellStyle name="Neutral 1" xfId="32"/>
    <cellStyle name="Note 1" xfId="33"/>
    <cellStyle name="Status 1" xfId="34"/>
    <cellStyle name="Text 1" xfId="35"/>
    <cellStyle name="Warning 1" xfId="36"/>
  </cellStyles>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CCCCCC"/>
      <rgbColor rgb="FF808080"/>
      <rgbColor rgb="FF9999FF"/>
      <rgbColor rgb="FFCE181E"/>
      <rgbColor rgb="FFFFFFCC"/>
      <rgbColor rgb="FFEEEEEE"/>
      <rgbColor rgb="FF660066"/>
      <rgbColor rgb="FFFF8080"/>
      <rgbColor rgb="FF0066CC"/>
      <rgbColor rgb="FFDDDDDD"/>
      <rgbColor rgb="FF000080"/>
      <rgbColor rgb="FFFF00FF"/>
      <rgbColor rgb="FFFFF200"/>
      <rgbColor rgb="FF00FFFF"/>
      <rgbColor rgb="FF800080"/>
      <rgbColor rgb="FF800000"/>
      <rgbColor rgb="FF008080"/>
      <rgbColor rgb="FF0000FF"/>
      <rgbColor rgb="FF00CCFF"/>
      <rgbColor rgb="FFDEDEDE"/>
      <rgbColor rgb="FFCCFFCC"/>
      <rgbColor rgb="FFFFFFA6"/>
      <rgbColor rgb="FFB3B3B3"/>
      <rgbColor rgb="FFFF99CC"/>
      <rgbColor rgb="FFCC99FF"/>
      <rgbColor rgb="FFFFCCCC"/>
      <rgbColor rgb="FF3366FF"/>
      <rgbColor rgb="FF33CCCC"/>
      <rgbColor rgb="FF99CC00"/>
      <rgbColor rgb="FFFFCC00"/>
      <rgbColor rgb="FFFF9900"/>
      <rgbColor rgb="FFFF6600"/>
      <rgbColor rgb="FF666699"/>
      <rgbColor rgb="FFB2B2B2"/>
      <rgbColor rgb="FF00458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ayout>
        <c:manualLayout>
          <c:layoutTarget val="inner"/>
          <c:xMode val="edge"/>
          <c:yMode val="edge"/>
          <c:x val="0.0659114315139032"/>
          <c:y val="0.0620906905413247"/>
          <c:w val="0.818622402617072"/>
          <c:h val="0.867072867445909"/>
        </c:manualLayout>
      </c:layout>
      <c:scatterChart>
        <c:scatterStyle val="lineMarker"/>
        <c:varyColors val="0"/>
        <c:ser>
          <c:idx val="0"/>
          <c:order val="0"/>
          <c:tx>
            <c:strRef>
              <c:f>'Apparent RT60 -Approximation'!$J$4</c:f>
              <c:strCache>
                <c:ptCount val="1"/>
                <c:pt idx="0">
                  <c:v>T60</c:v>
                </c:pt>
              </c:strCache>
            </c:strRef>
          </c:tx>
          <c:spPr>
            <a:solidFill>
              <a:srgbClr val="004586"/>
            </a:solidFill>
            <a:ln w="28800">
              <a:noFill/>
            </a:ln>
          </c:spPr>
          <c:marker>
            <c:symbol val="square"/>
            <c:size val="8"/>
            <c:spPr>
              <a:solidFill>
                <a:srgbClr val="004586"/>
              </a:solidFill>
            </c:spPr>
          </c:marker>
          <c:dPt>
            <c:idx val="30"/>
            <c:marker>
              <c:symbol val="square"/>
              <c:size val="8"/>
              <c:spPr>
                <a:solidFill>
                  <a:srgbClr val="004586"/>
                </a:solidFill>
              </c:spPr>
            </c:marker>
          </c:dPt>
          <c:dLbls>
            <c:dLbl>
              <c:idx val="30"/>
              <c:txPr>
                <a:bodyPr wrap="none"/>
                <a:lstStyle/>
                <a:p>
                  <a:pPr>
                    <a:defRPr b="0" sz="1000" spc="-1" strike="noStrike">
                      <a:latin typeface="Arial"/>
                    </a:defRPr>
                  </a:pPr>
                </a:p>
              </c:txPr>
              <c:dLblPos val="r"/>
              <c:showLegendKey val="0"/>
              <c:showVal val="0"/>
              <c:showCatName val="0"/>
              <c:showSerName val="0"/>
              <c:showPercent val="0"/>
              <c:separator> </c:separator>
            </c:dLbl>
            <c:txPr>
              <a:bodyPr wrap="none"/>
              <a:lstStyle/>
              <a:p>
                <a:pPr>
                  <a:defRPr b="0" sz="1000" spc="-1" strike="noStrike">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trendline>
            <c:spPr>
              <a:ln w="0">
                <a:solidFill>
                  <a:srgbClr val="004586"/>
                </a:solidFill>
              </a:ln>
            </c:spPr>
            <c:trendlineType val="poly"/>
            <c:order val="3"/>
            <c:forward val="0"/>
            <c:backward val="0"/>
            <c:intercept val="0"/>
            <c:dispRSqr val="1"/>
            <c:dispEq val="1"/>
          </c:trendline>
          <c:xVal>
            <c:numRef>
              <c:f>'Apparent RT60 -Approximation'!$I$5:$I$37</c:f>
              <c:numCache>
                <c:formatCode>General</c:formatCode>
                <c:ptCount val="33"/>
                <c:pt idx="0">
                  <c:v>0.2572</c:v>
                </c:pt>
                <c:pt idx="1">
                  <c:v>0.2925</c:v>
                </c:pt>
                <c:pt idx="2">
                  <c:v>0.3629</c:v>
                </c:pt>
                <c:pt idx="3">
                  <c:v>0.4356</c:v>
                </c:pt>
                <c:pt idx="4">
                  <c:v>0.5055</c:v>
                </c:pt>
                <c:pt idx="5">
                  <c:v>0.5884</c:v>
                </c:pt>
                <c:pt idx="6">
                  <c:v>0.661</c:v>
                </c:pt>
                <c:pt idx="7">
                  <c:v>0.7443</c:v>
                </c:pt>
                <c:pt idx="8">
                  <c:v>0.8406</c:v>
                </c:pt>
                <c:pt idx="9">
                  <c:v>0.9133</c:v>
                </c:pt>
                <c:pt idx="10">
                  <c:v>0.9939</c:v>
                </c:pt>
                <c:pt idx="11">
                  <c:v>1.0834</c:v>
                </c:pt>
                <c:pt idx="12">
                  <c:v>1.1831</c:v>
                </c:pt>
                <c:pt idx="13">
                  <c:v>1.2946</c:v>
                </c:pt>
                <c:pt idx="14">
                  <c:v>1.3553</c:v>
                </c:pt>
                <c:pt idx="15">
                  <c:v>1.4876</c:v>
                </c:pt>
                <c:pt idx="16">
                  <c:v>1.5599</c:v>
                </c:pt>
                <c:pt idx="17">
                  <c:v>1.6365</c:v>
                </c:pt>
                <c:pt idx="18">
                  <c:v>1.7179</c:v>
                </c:pt>
                <c:pt idx="19">
                  <c:v>1.8044</c:v>
                </c:pt>
                <c:pt idx="20">
                  <c:v>1.8964</c:v>
                </c:pt>
                <c:pt idx="21">
                  <c:v>1.9942</c:v>
                </c:pt>
                <c:pt idx="22">
                  <c:v>2.0983</c:v>
                </c:pt>
                <c:pt idx="23">
                  <c:v>2.2092</c:v>
                </c:pt>
                <c:pt idx="24">
                  <c:v>2.3273</c:v>
                </c:pt>
                <c:pt idx="25">
                  <c:v>2.7307</c:v>
                </c:pt>
                <c:pt idx="26">
                  <c:v>3.2208</c:v>
                </c:pt>
                <c:pt idx="27">
                  <c:v>3.8181</c:v>
                </c:pt>
                <c:pt idx="28">
                  <c:v>4.2882</c:v>
                </c:pt>
                <c:pt idx="29">
                  <c:v>4.8259</c:v>
                </c:pt>
                <c:pt idx="30">
                  <c:v>5.7818</c:v>
                </c:pt>
                <c:pt idx="31">
                  <c:v>7.4011</c:v>
                </c:pt>
                <c:pt idx="32">
                  <c:v>8.9417</c:v>
                </c:pt>
              </c:numCache>
            </c:numRef>
          </c:xVal>
          <c:yVal>
            <c:numRef>
              <c:f>'Apparent RT60 -Approximation'!$J$5:$J$37</c:f>
              <c:numCache>
                <c:formatCode>General</c:formatCode>
                <c:ptCount val="33"/>
                <c:pt idx="0">
                  <c:v>0.1</c:v>
                </c:pt>
                <c:pt idx="1">
                  <c:v>0.2</c:v>
                </c:pt>
                <c:pt idx="2">
                  <c:v>0.3</c:v>
                </c:pt>
                <c:pt idx="3">
                  <c:v>0.4</c:v>
                </c:pt>
                <c:pt idx="4">
                  <c:v>0.5</c:v>
                </c:pt>
                <c:pt idx="5">
                  <c:v>0.6</c:v>
                </c:pt>
                <c:pt idx="6">
                  <c:v>0.7</c:v>
                </c:pt>
                <c:pt idx="7">
                  <c:v>0.8</c:v>
                </c:pt>
                <c:pt idx="8">
                  <c:v>0.9</c:v>
                </c:pt>
                <c:pt idx="9">
                  <c:v>1</c:v>
                </c:pt>
                <c:pt idx="10">
                  <c:v>1.1</c:v>
                </c:pt>
                <c:pt idx="11">
                  <c:v>1.2</c:v>
                </c:pt>
                <c:pt idx="12">
                  <c:v>1.3</c:v>
                </c:pt>
                <c:pt idx="13">
                  <c:v>1.4</c:v>
                </c:pt>
                <c:pt idx="14">
                  <c:v>1.5</c:v>
                </c:pt>
                <c:pt idx="15">
                  <c:v>1.6</c:v>
                </c:pt>
                <c:pt idx="16">
                  <c:v>1.7</c:v>
                </c:pt>
                <c:pt idx="17">
                  <c:v>1.8</c:v>
                </c:pt>
                <c:pt idx="18">
                  <c:v>1.9</c:v>
                </c:pt>
                <c:pt idx="19">
                  <c:v>2</c:v>
                </c:pt>
                <c:pt idx="20">
                  <c:v>2.1</c:v>
                </c:pt>
                <c:pt idx="21">
                  <c:v>2.2</c:v>
                </c:pt>
                <c:pt idx="22">
                  <c:v>2.3</c:v>
                </c:pt>
                <c:pt idx="23">
                  <c:v>2.4</c:v>
                </c:pt>
                <c:pt idx="24">
                  <c:v>2.5</c:v>
                </c:pt>
                <c:pt idx="25">
                  <c:v>3</c:v>
                </c:pt>
                <c:pt idx="26">
                  <c:v>3.5</c:v>
                </c:pt>
                <c:pt idx="27">
                  <c:v>4</c:v>
                </c:pt>
                <c:pt idx="28">
                  <c:v>4.5</c:v>
                </c:pt>
                <c:pt idx="29">
                  <c:v>5</c:v>
                </c:pt>
                <c:pt idx="30">
                  <c:v>6</c:v>
                </c:pt>
                <c:pt idx="31">
                  <c:v>8</c:v>
                </c:pt>
                <c:pt idx="32">
                  <c:v>10</c:v>
                </c:pt>
              </c:numCache>
            </c:numRef>
          </c:yVal>
          <c:smooth val="0"/>
        </c:ser>
        <c:axId val="38370465"/>
        <c:axId val="36415591"/>
      </c:scatterChart>
      <c:valAx>
        <c:axId val="38370465"/>
        <c:scaling>
          <c:orientation val="minMax"/>
        </c:scaling>
        <c:delete val="0"/>
        <c:axPos val="b"/>
        <c:numFmt formatCode="0.0000" sourceLinked="0"/>
        <c:majorTickMark val="out"/>
        <c:minorTickMark val="none"/>
        <c:tickLblPos val="nextTo"/>
        <c:spPr>
          <a:ln w="0">
            <a:solidFill>
              <a:srgbClr val="b3b3b3"/>
            </a:solidFill>
          </a:ln>
        </c:spPr>
        <c:txPr>
          <a:bodyPr/>
          <a:lstStyle/>
          <a:p>
            <a:pPr>
              <a:defRPr b="0" sz="1000" spc="-1" strike="noStrike">
                <a:latin typeface="Arial"/>
              </a:defRPr>
            </a:pPr>
          </a:p>
        </c:txPr>
        <c:crossAx val="36415591"/>
        <c:crosses val="autoZero"/>
        <c:crossBetween val="midCat"/>
      </c:valAx>
      <c:valAx>
        <c:axId val="36415591"/>
        <c:scaling>
          <c:orientation val="minMax"/>
        </c:scaling>
        <c:delete val="0"/>
        <c:axPos val="l"/>
        <c:majorGridlines>
          <c:spPr>
            <a:ln w="0">
              <a:solidFill>
                <a:srgbClr val="b3b3b3"/>
              </a:solidFill>
            </a:ln>
          </c:spPr>
        </c:majorGridlines>
        <c:numFmt formatCode="General" sourceLinked="0"/>
        <c:majorTickMark val="out"/>
        <c:minorTickMark val="none"/>
        <c:tickLblPos val="nextTo"/>
        <c:spPr>
          <a:ln w="0">
            <a:solidFill>
              <a:srgbClr val="b3b3b3"/>
            </a:solidFill>
          </a:ln>
        </c:spPr>
        <c:txPr>
          <a:bodyPr/>
          <a:lstStyle/>
          <a:p>
            <a:pPr>
              <a:defRPr b="0" sz="1000" spc="-1" strike="noStrike">
                <a:latin typeface="Arial"/>
              </a:defRPr>
            </a:pPr>
          </a:p>
        </c:txPr>
        <c:crossAx val="38370465"/>
        <c:crosses val="autoZero"/>
        <c:crossBetween val="midCat"/>
      </c:valAx>
      <c:spPr>
        <a:noFill/>
        <a:ln w="0">
          <a:solidFill>
            <a:srgbClr val="b3b3b3"/>
          </a:solidFill>
        </a:ln>
      </c:spPr>
    </c:plotArea>
    <c:legend>
      <c:legendPos val="r"/>
      <c:overlay val="0"/>
      <c:spPr>
        <a:noFill/>
        <a:ln w="0">
          <a:noFill/>
        </a:ln>
      </c:spPr>
      <c:txPr>
        <a:bodyPr/>
        <a:lstStyle/>
        <a:p>
          <a:pPr>
            <a:defRPr b="0" sz="1000" spc="-1" strike="noStrike">
              <a:latin typeface="Arial"/>
            </a:defRPr>
          </a:pPr>
        </a:p>
      </c:txPr>
    </c:legend>
    <c:plotVisOnly val="1"/>
    <c:dispBlanksAs val="span"/>
  </c:chart>
  <c:spPr>
    <a:solidFill>
      <a:srgbClr val="ffffff"/>
    </a:solidFill>
    <a:ln w="0">
      <a:noFill/>
    </a:ln>
  </c:spPr>
</c:chartSpace>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_rels/drawing3.xml.rels><?xml version="1.0" encoding="UTF-8"?>
<Relationships xmlns="http://schemas.openxmlformats.org/package/2006/relationships"><Relationship Id="rId1" Type="http://schemas.openxmlformats.org/officeDocument/2006/relationships/chart" Target="../charts/chart1.xml"/><Relationship Id="rId2"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9</xdr:col>
      <xdr:colOff>548280</xdr:colOff>
      <xdr:row>0</xdr:row>
      <xdr:rowOff>30600</xdr:rowOff>
    </xdr:from>
    <xdr:to>
      <xdr:col>10</xdr:col>
      <xdr:colOff>1772280</xdr:colOff>
      <xdr:row>5</xdr:row>
      <xdr:rowOff>118080</xdr:rowOff>
    </xdr:to>
    <xdr:pic>
      <xdr:nvPicPr>
        <xdr:cNvPr id="0" name="Image 2" descr=""/>
        <xdr:cNvPicPr/>
      </xdr:nvPicPr>
      <xdr:blipFill>
        <a:blip r:embed="rId1"/>
        <a:stretch/>
      </xdr:blipFill>
      <xdr:spPr>
        <a:xfrm>
          <a:off x="9001440" y="30600"/>
          <a:ext cx="2012040" cy="100116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3</xdr:col>
      <xdr:colOff>53280</xdr:colOff>
      <xdr:row>133</xdr:row>
      <xdr:rowOff>43200</xdr:rowOff>
    </xdr:from>
    <xdr:to>
      <xdr:col>12</xdr:col>
      <xdr:colOff>45360</xdr:colOff>
      <xdr:row>157</xdr:row>
      <xdr:rowOff>109440</xdr:rowOff>
    </xdr:to>
    <xdr:pic>
      <xdr:nvPicPr>
        <xdr:cNvPr id="1" name="Image 1" descr=""/>
        <xdr:cNvPicPr/>
      </xdr:nvPicPr>
      <xdr:blipFill>
        <a:blip r:embed="rId1"/>
        <a:stretch/>
      </xdr:blipFill>
      <xdr:spPr>
        <a:xfrm>
          <a:off x="2417400" y="24769440"/>
          <a:ext cx="7274880" cy="399132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10</xdr:col>
      <xdr:colOff>808200</xdr:colOff>
      <xdr:row>2</xdr:row>
      <xdr:rowOff>720</xdr:rowOff>
    </xdr:from>
    <xdr:to>
      <xdr:col>25</xdr:col>
      <xdr:colOff>501120</xdr:colOff>
      <xdr:row>55</xdr:row>
      <xdr:rowOff>69840</xdr:rowOff>
    </xdr:to>
    <xdr:graphicFrame>
      <xdr:nvGraphicFramePr>
        <xdr:cNvPr id="2" name=""/>
        <xdr:cNvGraphicFramePr/>
      </xdr:nvGraphicFramePr>
      <xdr:xfrm>
        <a:off x="8936280" y="325800"/>
        <a:ext cx="11884680" cy="86850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286200</xdr:colOff>
      <xdr:row>65</xdr:row>
      <xdr:rowOff>50040</xdr:rowOff>
    </xdr:from>
    <xdr:to>
      <xdr:col>30</xdr:col>
      <xdr:colOff>649080</xdr:colOff>
      <xdr:row>76</xdr:row>
      <xdr:rowOff>27720</xdr:rowOff>
    </xdr:to>
    <xdr:pic>
      <xdr:nvPicPr>
        <xdr:cNvPr id="3" name="Image 1" descr=""/>
        <xdr:cNvPicPr/>
      </xdr:nvPicPr>
      <xdr:blipFill>
        <a:blip r:embed="rId2"/>
        <a:stretch/>
      </xdr:blipFill>
      <xdr:spPr>
        <a:xfrm>
          <a:off x="3537360" y="10616400"/>
          <a:ext cx="21495600" cy="17658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
</Relationships>
</file>

<file path=xl/worksheets/_rels/sheet4.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69"/>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J12" activeCellId="0" sqref="J12"/>
    </sheetView>
  </sheetViews>
  <sheetFormatPr defaultColWidth="11.53515625" defaultRowHeight="12.8" zeroHeight="false" outlineLevelRow="0" outlineLevelCol="0"/>
  <cols>
    <col collapsed="false" customWidth="true" hidden="false" outlineLevel="0" max="1" min="1" style="1" width="27.99"/>
    <col collapsed="false" customWidth="true" hidden="false" outlineLevel="0" max="5" min="2" style="0" width="11.18"/>
    <col collapsed="false" customWidth="true" hidden="false" outlineLevel="0" max="6" min="6" style="1" width="10.87"/>
    <col collapsed="false" customWidth="true" hidden="false" outlineLevel="0" max="7" min="7" style="1" width="12.34"/>
    <col collapsed="false" customWidth="true" hidden="false" outlineLevel="0" max="8" min="8" style="1" width="12.82"/>
    <col collapsed="false" customWidth="true" hidden="false" outlineLevel="0" max="10" min="9" style="0" width="11.18"/>
    <col collapsed="false" customWidth="true" hidden="false" outlineLevel="0" max="11" min="11" style="1" width="29.83"/>
    <col collapsed="false" customWidth="true" hidden="false" outlineLevel="0" max="12" min="12" style="1" width="20.51"/>
    <col collapsed="false" customWidth="true" hidden="false" outlineLevel="0" max="15" min="13" style="1" width="6.98"/>
    <col collapsed="false" customWidth="true" hidden="false" outlineLevel="0" max="16" min="16" style="1" width="6.01"/>
    <col collapsed="false" customWidth="true" hidden="false" outlineLevel="0" max="17" min="17" style="1" width="5.52"/>
    <col collapsed="false" customWidth="true" hidden="false" outlineLevel="0" max="19" min="18" style="1" width="6.01"/>
    <col collapsed="false" customWidth="true" hidden="false" outlineLevel="0" max="20" min="20" style="0" width="11.18"/>
    <col collapsed="false" customWidth="true" hidden="false" outlineLevel="0" max="21" min="21" style="1" width="14.67"/>
    <col collapsed="false" customWidth="true" hidden="false" outlineLevel="0" max="64" min="22" style="0" width="11.18"/>
  </cols>
  <sheetData>
    <row r="1" customFormat="false" ht="12.8" hidden="false" customHeight="true" outlineLevel="0" collapsed="false">
      <c r="B1" s="1"/>
      <c r="C1" s="1"/>
      <c r="D1" s="1"/>
      <c r="E1" s="1"/>
      <c r="I1" s="1"/>
      <c r="J1" s="1"/>
    </row>
    <row r="2" customFormat="false" ht="18" hidden="false" customHeight="true" outlineLevel="0" collapsed="false">
      <c r="A2" s="2" t="s">
        <v>0</v>
      </c>
      <c r="B2" s="1"/>
      <c r="C2" s="1"/>
      <c r="D2" s="1"/>
      <c r="E2" s="1" t="s">
        <v>1</v>
      </c>
      <c r="F2" s="1" t="s">
        <v>2</v>
      </c>
      <c r="G2" s="3" t="s">
        <v>3</v>
      </c>
      <c r="H2" s="4" t="s">
        <v>4</v>
      </c>
      <c r="I2" s="3" t="s">
        <v>5</v>
      </c>
      <c r="J2" s="1"/>
    </row>
    <row r="3" customFormat="false" ht="13.4" hidden="false" customHeight="true" outlineLevel="0" collapsed="false">
      <c r="A3" s="5" t="s">
        <v>6</v>
      </c>
      <c r="B3" s="1"/>
      <c r="C3" s="1"/>
      <c r="D3" s="1"/>
      <c r="E3" s="1"/>
      <c r="G3" s="6" t="s">
        <v>5</v>
      </c>
      <c r="H3" s="7" t="s">
        <v>4</v>
      </c>
      <c r="I3" s="6" t="s">
        <v>7</v>
      </c>
      <c r="J3" s="1"/>
    </row>
    <row r="4" customFormat="false" ht="15" hidden="false" customHeight="false" outlineLevel="0" collapsed="false">
      <c r="B4" s="1"/>
      <c r="C4" s="1"/>
      <c r="D4" s="1"/>
      <c r="E4" s="1"/>
      <c r="G4" s="1" t="s">
        <v>7</v>
      </c>
      <c r="H4" s="7" t="s">
        <v>4</v>
      </c>
      <c r="I4" s="1" t="s">
        <v>8</v>
      </c>
      <c r="J4" s="1"/>
    </row>
    <row r="5" customFormat="false" ht="12.75" hidden="false" customHeight="true" outlineLevel="0" collapsed="false">
      <c r="A5" s="8" t="s">
        <v>9</v>
      </c>
      <c r="B5" s="8"/>
      <c r="C5" s="8"/>
      <c r="D5" s="1"/>
      <c r="E5" s="1"/>
      <c r="I5" s="1"/>
      <c r="J5" s="1"/>
    </row>
    <row r="6" customFormat="false" ht="12.8" hidden="false" customHeight="false" outlineLevel="0" collapsed="false">
      <c r="B6" s="1"/>
      <c r="C6" s="1"/>
      <c r="D6" s="1"/>
      <c r="E6" s="1"/>
      <c r="I6" s="1"/>
      <c r="J6" s="1"/>
    </row>
    <row r="7" customFormat="false" ht="12.75" hidden="false" customHeight="true" outlineLevel="0" collapsed="false">
      <c r="A7" s="8" t="s">
        <v>10</v>
      </c>
      <c r="B7" s="1"/>
      <c r="C7" s="1"/>
      <c r="D7" s="1"/>
      <c r="E7" s="1"/>
      <c r="I7" s="1"/>
      <c r="J7" s="1"/>
    </row>
    <row r="8" customFormat="false" ht="12.75" hidden="false" customHeight="true" outlineLevel="0" collapsed="false">
      <c r="A8" s="9" t="s">
        <v>11</v>
      </c>
      <c r="B8" s="9"/>
      <c r="C8" s="9"/>
      <c r="D8" s="9"/>
      <c r="E8" s="9"/>
      <c r="F8" s="9"/>
      <c r="G8" s="9"/>
      <c r="H8" s="9"/>
      <c r="I8" s="9"/>
      <c r="J8" s="9"/>
      <c r="K8" s="10" t="s">
        <v>12</v>
      </c>
    </row>
    <row r="9" customFormat="false" ht="12.75" hidden="false" customHeight="true" outlineLevel="0" collapsed="false">
      <c r="A9" s="10" t="s">
        <v>13</v>
      </c>
      <c r="B9" s="11" t="s">
        <v>14</v>
      </c>
      <c r="C9" s="11" t="s">
        <v>15</v>
      </c>
      <c r="D9" s="11" t="s">
        <v>16</v>
      </c>
      <c r="E9" s="11" t="s">
        <v>17</v>
      </c>
      <c r="F9" s="11" t="s">
        <v>18</v>
      </c>
      <c r="G9" s="11" t="s">
        <v>19</v>
      </c>
      <c r="H9" s="11" t="s">
        <v>20</v>
      </c>
      <c r="I9" s="10"/>
      <c r="J9" s="10"/>
      <c r="K9" s="12"/>
    </row>
    <row r="10" customFormat="false" ht="12.75" hidden="false" customHeight="true" outlineLevel="0" collapsed="false">
      <c r="A10" s="13" t="s">
        <v>21</v>
      </c>
      <c r="B10" s="14" t="n">
        <v>80</v>
      </c>
      <c r="C10" s="14" t="n">
        <v>80</v>
      </c>
      <c r="D10" s="14" t="n">
        <v>80</v>
      </c>
      <c r="E10" s="14" t="n">
        <v>80</v>
      </c>
      <c r="F10" s="14" t="n">
        <v>80</v>
      </c>
      <c r="G10" s="14" t="n">
        <v>80</v>
      </c>
      <c r="H10" s="14" t="n">
        <v>80</v>
      </c>
      <c r="I10" s="15"/>
      <c r="J10" s="15"/>
      <c r="K10" s="16"/>
    </row>
    <row r="11" customFormat="false" ht="12.75" hidden="false" customHeight="true" outlineLevel="0" collapsed="false">
      <c r="A11" s="1" t="s">
        <v>22</v>
      </c>
      <c r="B11" s="17" t="n">
        <f aca="false">IF((J11=1),I11,0)</f>
        <v>0</v>
      </c>
      <c r="C11" s="17" t="n">
        <f aca="false">IF((J11=1),I11,0)</f>
        <v>0</v>
      </c>
      <c r="D11" s="17" t="n">
        <f aca="false">IF((J11=1),I11,0)</f>
        <v>0</v>
      </c>
      <c r="E11" s="17" t="n">
        <f aca="false">IF((J11=1),I11,0)</f>
        <v>0</v>
      </c>
      <c r="F11" s="17" t="n">
        <f aca="false">IF((J11=1),I11,0)</f>
        <v>0</v>
      </c>
      <c r="G11" s="17" t="n">
        <f aca="false">IF((J11=1),I11,0)</f>
        <v>0</v>
      </c>
      <c r="H11" s="17" t="n">
        <f aca="false">IF((J11=1),I11,0)</f>
        <v>0</v>
      </c>
      <c r="I11" s="18" t="n">
        <v>-9</v>
      </c>
      <c r="J11" s="19" t="n">
        <v>0</v>
      </c>
      <c r="K11" s="16"/>
    </row>
    <row r="12" customFormat="false" ht="12.75" hidden="false" customHeight="true" outlineLevel="0" collapsed="false">
      <c r="A12" s="1" t="s">
        <v>23</v>
      </c>
      <c r="B12" s="20" t="n">
        <f aca="false">IF((J12=1),-18.6,0)</f>
        <v>0</v>
      </c>
      <c r="C12" s="20" t="n">
        <f aca="false">IF((J12=1),-8.1,0)</f>
        <v>0</v>
      </c>
      <c r="D12" s="20" t="n">
        <f aca="false">IF((J12=1),-3.2,0)</f>
        <v>0</v>
      </c>
      <c r="E12" s="20" t="n">
        <f aca="false">IF((J12=1),-6,0)</f>
        <v>0</v>
      </c>
      <c r="F12" s="20" t="n">
        <f aca="false">IF((J12=1),-10.8,0)</f>
        <v>0</v>
      </c>
      <c r="G12" s="20" t="n">
        <f aca="false">IF((J12=1),-17,0)</f>
        <v>0</v>
      </c>
      <c r="H12" s="20" t="n">
        <f aca="false">IF((J12=1),-25.1,0)</f>
        <v>0</v>
      </c>
      <c r="I12" s="12"/>
      <c r="J12" s="19" t="n">
        <v>0</v>
      </c>
      <c r="K12" s="16"/>
    </row>
    <row r="13" customFormat="false" ht="12.75" hidden="false" customHeight="true" outlineLevel="0" collapsed="false">
      <c r="B13" s="21"/>
      <c r="C13" s="21"/>
      <c r="D13" s="21"/>
      <c r="E13" s="21"/>
      <c r="F13" s="21"/>
      <c r="G13" s="21"/>
      <c r="H13" s="21"/>
      <c r="I13" s="22" t="s">
        <v>24</v>
      </c>
      <c r="J13" s="22"/>
      <c r="K13" s="16"/>
    </row>
    <row r="14" customFormat="false" ht="12.75" hidden="false" customHeight="true" outlineLevel="0" collapsed="false">
      <c r="B14" s="21"/>
      <c r="C14" s="21"/>
      <c r="D14" s="21"/>
      <c r="E14" s="21"/>
      <c r="F14" s="21"/>
      <c r="G14" s="21"/>
      <c r="H14" s="21"/>
      <c r="I14" s="23" t="s">
        <v>25</v>
      </c>
      <c r="J14" s="23" t="s">
        <v>26</v>
      </c>
      <c r="K14" s="16"/>
    </row>
    <row r="15" customFormat="false" ht="12.75" hidden="false" customHeight="true" outlineLevel="0" collapsed="false">
      <c r="A15" s="24" t="s">
        <v>27</v>
      </c>
      <c r="B15" s="25" t="n">
        <f aca="false">B10+B11+B12</f>
        <v>80</v>
      </c>
      <c r="C15" s="25" t="n">
        <f aca="false">C10+C11+C12</f>
        <v>80</v>
      </c>
      <c r="D15" s="25" t="n">
        <f aca="false">D10+D11+D12</f>
        <v>80</v>
      </c>
      <c r="E15" s="25" t="n">
        <f aca="false">E10+E11+E12</f>
        <v>80</v>
      </c>
      <c r="F15" s="25" t="n">
        <f aca="false">F10+F11+F12</f>
        <v>80</v>
      </c>
      <c r="G15" s="25" t="n">
        <f aca="false">G10+G11+G12</f>
        <v>80</v>
      </c>
      <c r="H15" s="25" t="n">
        <f aca="false">H10+H11+H12</f>
        <v>80</v>
      </c>
      <c r="I15" s="26" t="n">
        <f aca="false">(10*(LOG10(I16)))+120</f>
        <v>88.4509804001426</v>
      </c>
      <c r="J15" s="26" t="n">
        <f aca="false">(10*(LOG10(I19)))+120</f>
        <v>86.9850461481509</v>
      </c>
      <c r="K15" s="16"/>
    </row>
    <row r="16" customFormat="false" ht="12.75" hidden="true" customHeight="true" outlineLevel="0" collapsed="false">
      <c r="A16" s="27" t="s">
        <v>28</v>
      </c>
      <c r="B16" s="28" t="n">
        <f aca="false">(POWER(10,(B15/10)))*(POWER(10,(-12)))</f>
        <v>0.0001</v>
      </c>
      <c r="C16" s="28" t="n">
        <f aca="false">(POWER(10,(C15/10)))*(POWER(10,(-12)))</f>
        <v>0.0001</v>
      </c>
      <c r="D16" s="28" t="n">
        <f aca="false">(POWER(10,(D15/10)))*(POWER(10,(-12)))</f>
        <v>0.0001</v>
      </c>
      <c r="E16" s="28" t="n">
        <f aca="false">(POWER(10,(E15/10)))*(POWER(10,(-12)))</f>
        <v>0.0001</v>
      </c>
      <c r="F16" s="28" t="n">
        <f aca="false">(POWER(10,(F15/10)))*(POWER(10,(-12)))</f>
        <v>0.0001</v>
      </c>
      <c r="G16" s="28" t="n">
        <f aca="false">(POWER(10,(G15/10)))*(POWER(10,(-12)))</f>
        <v>0.0001</v>
      </c>
      <c r="H16" s="28" t="n">
        <f aca="false">(POWER(10,(H15/10)))*(POWER(10,(-12)))</f>
        <v>0.0001</v>
      </c>
      <c r="I16" s="29" t="n">
        <f aca="false">SUM(B16:H16)</f>
        <v>0.0007</v>
      </c>
      <c r="J16" s="29"/>
      <c r="K16" s="16"/>
    </row>
    <row r="17" customFormat="false" ht="12.75" hidden="true" customHeight="true" outlineLevel="0" collapsed="false">
      <c r="A17" s="27" t="s">
        <v>29</v>
      </c>
      <c r="B17" s="28" t="n">
        <v>-16.1</v>
      </c>
      <c r="C17" s="28" t="n">
        <v>-8.6</v>
      </c>
      <c r="D17" s="28" t="n">
        <v>-3.2</v>
      </c>
      <c r="E17" s="28" t="n">
        <v>0</v>
      </c>
      <c r="F17" s="28" t="n">
        <v>1.2</v>
      </c>
      <c r="G17" s="28" t="n">
        <v>1</v>
      </c>
      <c r="H17" s="28" t="n">
        <v>-1.1</v>
      </c>
      <c r="I17" s="29"/>
      <c r="J17" s="29"/>
      <c r="K17" s="16"/>
    </row>
    <row r="18" customFormat="false" ht="12.75" hidden="true" customHeight="true" outlineLevel="0" collapsed="false">
      <c r="A18" s="27" t="s">
        <v>30</v>
      </c>
      <c r="B18" s="28" t="n">
        <f aca="false">B15+B17</f>
        <v>63.9</v>
      </c>
      <c r="C18" s="28" t="n">
        <f aca="false">C15+C17</f>
        <v>71.4</v>
      </c>
      <c r="D18" s="28" t="n">
        <f aca="false">D15+D17</f>
        <v>76.8</v>
      </c>
      <c r="E18" s="28" t="n">
        <f aca="false">E15+E17</f>
        <v>80</v>
      </c>
      <c r="F18" s="28" t="n">
        <f aca="false">F15+F17</f>
        <v>81.2</v>
      </c>
      <c r="G18" s="28" t="n">
        <f aca="false">G15+G17</f>
        <v>81</v>
      </c>
      <c r="H18" s="28" t="n">
        <f aca="false">H15+H17</f>
        <v>78.9</v>
      </c>
      <c r="I18" s="29"/>
      <c r="J18" s="29"/>
      <c r="K18" s="16"/>
    </row>
    <row r="19" customFormat="false" ht="12.75" hidden="true" customHeight="true" outlineLevel="0" collapsed="false">
      <c r="A19" s="27" t="s">
        <v>28</v>
      </c>
      <c r="B19" s="28" t="n">
        <f aca="false">(POWER(10,(B18/10)))*(POWER(10,(-12)))</f>
        <v>2.45470891568503E-006</v>
      </c>
      <c r="C19" s="28" t="n">
        <f aca="false">(POWER(10,(C18/10)))*(POWER(10,(-12)))</f>
        <v>1.38038426460289E-005</v>
      </c>
      <c r="D19" s="28" t="n">
        <f aca="false">(POWER(10,(D18/10)))*(POWER(10,(-12)))</f>
        <v>4.78630092322638E-005</v>
      </c>
      <c r="E19" s="28" t="n">
        <f aca="false">(POWER(10,(E18/10)))*(POWER(10,(-12)))</f>
        <v>0.0001</v>
      </c>
      <c r="F19" s="28" t="n">
        <f aca="false">(POWER(10,(F18/10)))*(POWER(10,(-12)))</f>
        <v>0.000131825673855641</v>
      </c>
      <c r="G19" s="28" t="n">
        <f aca="false">(POWER(10,(G18/10)))*(POWER(10,(-12)))</f>
        <v>0.000125892541179417</v>
      </c>
      <c r="H19" s="28" t="n">
        <f aca="false">(POWER(10,(H18/10)))*(POWER(10,(-12)))</f>
        <v>7.76247116628693E-005</v>
      </c>
      <c r="I19" s="29" t="n">
        <f aca="false">SUM(B19:H19)</f>
        <v>0.000499464487491905</v>
      </c>
      <c r="J19" s="29"/>
      <c r="K19" s="16"/>
    </row>
    <row r="20" customFormat="false" ht="12.75" hidden="false" customHeight="true" outlineLevel="0" collapsed="false">
      <c r="B20" s="30"/>
      <c r="C20" s="30"/>
      <c r="D20" s="30"/>
      <c r="E20" s="30"/>
      <c r="F20" s="30"/>
      <c r="G20" s="30"/>
      <c r="H20" s="30"/>
      <c r="I20" s="1"/>
      <c r="J20" s="1"/>
      <c r="K20" s="16"/>
    </row>
    <row r="21" customFormat="false" ht="12.75" hidden="false" customHeight="true" outlineLevel="0" collapsed="false">
      <c r="A21" s="10" t="s">
        <v>31</v>
      </c>
      <c r="B21" s="11" t="s">
        <v>14</v>
      </c>
      <c r="C21" s="11" t="s">
        <v>15</v>
      </c>
      <c r="D21" s="11" t="s">
        <v>16</v>
      </c>
      <c r="E21" s="11" t="s">
        <v>17</v>
      </c>
      <c r="F21" s="11" t="s">
        <v>18</v>
      </c>
      <c r="G21" s="11" t="s">
        <v>19</v>
      </c>
      <c r="H21" s="11" t="s">
        <v>20</v>
      </c>
      <c r="I21" s="1"/>
      <c r="J21" s="1"/>
      <c r="K21" s="16"/>
    </row>
    <row r="22" customFormat="false" ht="12.75" hidden="false" customHeight="true" outlineLevel="0" collapsed="false">
      <c r="A22" s="13" t="s">
        <v>32</v>
      </c>
      <c r="B22" s="14" t="n">
        <v>50</v>
      </c>
      <c r="C22" s="14" t="n">
        <v>50</v>
      </c>
      <c r="D22" s="14" t="n">
        <v>50</v>
      </c>
      <c r="E22" s="14" t="n">
        <v>50</v>
      </c>
      <c r="F22" s="14" t="n">
        <v>50</v>
      </c>
      <c r="G22" s="14" t="n">
        <v>50</v>
      </c>
      <c r="H22" s="14" t="n">
        <v>50</v>
      </c>
      <c r="I22" s="1"/>
      <c r="J22" s="1"/>
      <c r="K22" s="16" t="s">
        <v>33</v>
      </c>
    </row>
    <row r="23" customFormat="false" ht="13.5" hidden="false" customHeight="true" outlineLevel="0" collapsed="false">
      <c r="A23" s="1" t="s">
        <v>34</v>
      </c>
      <c r="B23" s="18" t="n">
        <v>3</v>
      </c>
      <c r="C23" s="18" t="n">
        <v>3</v>
      </c>
      <c r="D23" s="18" t="n">
        <v>3</v>
      </c>
      <c r="E23" s="18" t="n">
        <v>3</v>
      </c>
      <c r="F23" s="18" t="n">
        <v>3</v>
      </c>
      <c r="G23" s="18" t="n">
        <v>3</v>
      </c>
      <c r="H23" s="18" t="n">
        <v>3</v>
      </c>
      <c r="I23" s="12"/>
      <c r="J23" s="19" t="n">
        <v>0</v>
      </c>
      <c r="K23" s="16" t="s">
        <v>35</v>
      </c>
    </row>
    <row r="24" customFormat="false" ht="13.5" hidden="false" customHeight="true" outlineLevel="0" collapsed="false">
      <c r="A24" s="1" t="s">
        <v>36</v>
      </c>
      <c r="B24" s="17" t="n">
        <f aca="false">IF((J23=1),B23,0)</f>
        <v>0</v>
      </c>
      <c r="C24" s="17" t="n">
        <f aca="false">IF((J23=1),C23,0)</f>
        <v>0</v>
      </c>
      <c r="D24" s="17" t="n">
        <f aca="false">IF((J23=1),D23,0)</f>
        <v>0</v>
      </c>
      <c r="E24" s="17" t="n">
        <f aca="false">IF((J23=1),E23,0)</f>
        <v>0</v>
      </c>
      <c r="F24" s="17" t="n">
        <f aca="false">IF((J23=1),F23,0)</f>
        <v>0</v>
      </c>
      <c r="G24" s="17" t="n">
        <f aca="false">IF((J23=1),G23,0)</f>
        <v>0</v>
      </c>
      <c r="H24" s="17" t="n">
        <f aca="false">IF((J23=1),H23,0)</f>
        <v>0</v>
      </c>
      <c r="I24" s="22" t="s">
        <v>24</v>
      </c>
      <c r="J24" s="22"/>
      <c r="K24" s="16" t="s">
        <v>37</v>
      </c>
    </row>
    <row r="25" customFormat="false" ht="13.5" hidden="false" customHeight="true" outlineLevel="0" collapsed="false">
      <c r="B25" s="21"/>
      <c r="C25" s="21"/>
      <c r="D25" s="21"/>
      <c r="E25" s="21"/>
      <c r="F25" s="21"/>
      <c r="G25" s="21"/>
      <c r="H25" s="21"/>
      <c r="I25" s="23" t="s">
        <v>25</v>
      </c>
      <c r="J25" s="23" t="s">
        <v>26</v>
      </c>
      <c r="K25" s="16"/>
    </row>
    <row r="26" customFormat="false" ht="13.5" hidden="false" customHeight="true" outlineLevel="0" collapsed="false">
      <c r="A26" s="31" t="s">
        <v>38</v>
      </c>
      <c r="B26" s="25" t="n">
        <f aca="false">B22+B24</f>
        <v>50</v>
      </c>
      <c r="C26" s="25" t="n">
        <f aca="false">C22+C24</f>
        <v>50</v>
      </c>
      <c r="D26" s="25" t="n">
        <f aca="false">D22+D24</f>
        <v>50</v>
      </c>
      <c r="E26" s="25" t="n">
        <f aca="false">E22+E24</f>
        <v>50</v>
      </c>
      <c r="F26" s="25" t="n">
        <f aca="false">F22+F24</f>
        <v>50</v>
      </c>
      <c r="G26" s="25" t="n">
        <f aca="false">G22+G24</f>
        <v>50</v>
      </c>
      <c r="H26" s="25" t="n">
        <f aca="false">H22+H24</f>
        <v>50</v>
      </c>
      <c r="I26" s="26" t="n">
        <f aca="false">(10*(LOG10(I27)))+120</f>
        <v>58.4509804001426</v>
      </c>
      <c r="J26" s="26" t="n">
        <f aca="false">(10*(LOG10(I30)))+120</f>
        <v>56.9850461481509</v>
      </c>
      <c r="K26" s="16"/>
    </row>
    <row r="27" customFormat="false" ht="13.5" hidden="true" customHeight="true" outlineLevel="0" collapsed="false">
      <c r="A27" s="27" t="s">
        <v>28</v>
      </c>
      <c r="B27" s="28" t="n">
        <f aca="false">(POWER(10,(B26/10)))*(POWER(10,(-12)))</f>
        <v>1E-007</v>
      </c>
      <c r="C27" s="28" t="n">
        <f aca="false">(POWER(10,(C26/10)))*(POWER(10,(-12)))</f>
        <v>1E-007</v>
      </c>
      <c r="D27" s="28" t="n">
        <f aca="false">(POWER(10,(D26/10)))*(POWER(10,(-12)))</f>
        <v>1E-007</v>
      </c>
      <c r="E27" s="28" t="n">
        <f aca="false">(POWER(10,(E26/10)))*(POWER(10,(-12)))</f>
        <v>1E-007</v>
      </c>
      <c r="F27" s="28" t="n">
        <f aca="false">(POWER(10,(F26/10)))*(POWER(10,(-12)))</f>
        <v>1E-007</v>
      </c>
      <c r="G27" s="28" t="n">
        <f aca="false">(POWER(10,(G26/10)))*(POWER(10,(-12)))</f>
        <v>1E-007</v>
      </c>
      <c r="H27" s="28" t="n">
        <f aca="false">(POWER(10,(H26/10)))*(POWER(10,(-12)))</f>
        <v>1E-007</v>
      </c>
      <c r="I27" s="29" t="n">
        <f aca="false">SUM(B27:H27)</f>
        <v>7E-007</v>
      </c>
      <c r="J27" s="29"/>
      <c r="K27" s="16"/>
    </row>
    <row r="28" customFormat="false" ht="13.5" hidden="true" customHeight="true" outlineLevel="0" collapsed="false">
      <c r="A28" s="27" t="s">
        <v>29</v>
      </c>
      <c r="B28" s="28" t="n">
        <v>-16.1</v>
      </c>
      <c r="C28" s="28" t="n">
        <v>-8.6</v>
      </c>
      <c r="D28" s="28" t="n">
        <v>-3.2</v>
      </c>
      <c r="E28" s="28" t="n">
        <v>0</v>
      </c>
      <c r="F28" s="28" t="n">
        <v>1.2</v>
      </c>
      <c r="G28" s="28" t="n">
        <v>1</v>
      </c>
      <c r="H28" s="28" t="n">
        <v>-1.1</v>
      </c>
      <c r="I28" s="29"/>
      <c r="J28" s="29"/>
      <c r="K28" s="16"/>
    </row>
    <row r="29" customFormat="false" ht="13.5" hidden="true" customHeight="true" outlineLevel="0" collapsed="false">
      <c r="A29" s="27" t="s">
        <v>30</v>
      </c>
      <c r="B29" s="28" t="n">
        <f aca="false">B26+B28</f>
        <v>33.9</v>
      </c>
      <c r="C29" s="28" t="n">
        <f aca="false">C26+C28</f>
        <v>41.4</v>
      </c>
      <c r="D29" s="28" t="n">
        <f aca="false">D26+D28</f>
        <v>46.8</v>
      </c>
      <c r="E29" s="28" t="n">
        <f aca="false">E26+E28</f>
        <v>50</v>
      </c>
      <c r="F29" s="28" t="n">
        <f aca="false">F26+F28</f>
        <v>51.2</v>
      </c>
      <c r="G29" s="28" t="n">
        <f aca="false">G26+G28</f>
        <v>51</v>
      </c>
      <c r="H29" s="28" t="n">
        <f aca="false">H26+H28</f>
        <v>48.9</v>
      </c>
      <c r="I29" s="29"/>
      <c r="J29" s="29"/>
      <c r="K29" s="16"/>
    </row>
    <row r="30" customFormat="false" ht="13.5" hidden="true" customHeight="true" outlineLevel="0" collapsed="false">
      <c r="A30" s="27" t="s">
        <v>28</v>
      </c>
      <c r="B30" s="28" t="n">
        <f aca="false">(POWER(10,(B29/10)))*(POWER(10,(-12)))</f>
        <v>2.45470891569E-009</v>
      </c>
      <c r="C30" s="28" t="n">
        <f aca="false">(POWER(10,(C29/10)))*(POWER(10,(-12)))</f>
        <v>1.380384264603E-008</v>
      </c>
      <c r="D30" s="28" t="n">
        <f aca="false">(POWER(10,(D29/10)))*(POWER(10,(-12)))</f>
        <v>4.786300923226E-008</v>
      </c>
      <c r="E30" s="28" t="n">
        <f aca="false">(POWER(10,(E29/10)))*(POWER(10,(-12)))</f>
        <v>1E-007</v>
      </c>
      <c r="F30" s="28" t="n">
        <f aca="false">(POWER(10,(F29/10)))*(POWER(10,(-12)))</f>
        <v>1.3182567385564E-007</v>
      </c>
      <c r="G30" s="28" t="n">
        <f aca="false">(POWER(10,(G29/10)))*(POWER(10,(-12)))</f>
        <v>1.2589254117942E-007</v>
      </c>
      <c r="H30" s="28" t="n">
        <f aca="false">(POWER(10,(H29/10)))*(POWER(10,(-12)))</f>
        <v>7.762471166287E-008</v>
      </c>
      <c r="I30" s="29" t="n">
        <f aca="false">SUM(B30:H30)</f>
        <v>4.9946448749191E-007</v>
      </c>
      <c r="J30" s="29"/>
      <c r="K30" s="16"/>
    </row>
    <row r="31" customFormat="false" ht="13.5" hidden="false" customHeight="true" outlineLevel="0" collapsed="false">
      <c r="B31" s="30"/>
      <c r="C31" s="30"/>
      <c r="D31" s="30"/>
      <c r="E31" s="30"/>
      <c r="F31" s="30"/>
      <c r="G31" s="30"/>
      <c r="H31" s="30"/>
      <c r="I31" s="1"/>
      <c r="J31" s="1"/>
      <c r="K31" s="16"/>
    </row>
    <row r="32" customFormat="false" ht="13.5" hidden="false" customHeight="true" outlineLevel="0" collapsed="false">
      <c r="B32" s="11" t="s">
        <v>14</v>
      </c>
      <c r="C32" s="11" t="s">
        <v>15</v>
      </c>
      <c r="D32" s="11" t="s">
        <v>16</v>
      </c>
      <c r="E32" s="11" t="s">
        <v>17</v>
      </c>
      <c r="F32" s="11" t="s">
        <v>18</v>
      </c>
      <c r="G32" s="11" t="s">
        <v>19</v>
      </c>
      <c r="H32" s="11" t="s">
        <v>20</v>
      </c>
      <c r="I32" s="1"/>
      <c r="J32" s="1"/>
      <c r="K32" s="16"/>
    </row>
    <row r="33" customFormat="false" ht="13.5" hidden="false" customHeight="true" outlineLevel="0" collapsed="false">
      <c r="A33" s="13" t="s">
        <v>39</v>
      </c>
      <c r="B33" s="32" t="n">
        <v>0.6</v>
      </c>
      <c r="C33" s="32" t="n">
        <v>0.6</v>
      </c>
      <c r="D33" s="32" t="n">
        <v>0.6</v>
      </c>
      <c r="E33" s="32" t="n">
        <v>0.6</v>
      </c>
      <c r="F33" s="32" t="n">
        <v>0.6</v>
      </c>
      <c r="G33" s="32" t="n">
        <v>0.6</v>
      </c>
      <c r="H33" s="32" t="n">
        <v>0.6</v>
      </c>
      <c r="I33" s="1"/>
      <c r="J33" s="1"/>
      <c r="K33" s="16"/>
    </row>
    <row r="34" customFormat="false" ht="13.5" hidden="false" customHeight="true" outlineLevel="0" collapsed="false">
      <c r="B34" s="33"/>
      <c r="C34" s="33"/>
      <c r="D34" s="33"/>
      <c r="E34" s="1"/>
      <c r="I34" s="1"/>
      <c r="J34" s="1"/>
      <c r="K34" s="16"/>
    </row>
    <row r="35" customFormat="false" ht="12.75" hidden="false" customHeight="true" outlineLevel="0" collapsed="false">
      <c r="B35" s="1"/>
      <c r="C35" s="1"/>
      <c r="D35" s="1"/>
      <c r="E35" s="1"/>
      <c r="I35" s="1"/>
      <c r="J35" s="1"/>
      <c r="K35" s="16"/>
    </row>
    <row r="36" customFormat="false" ht="18" hidden="false" customHeight="true" outlineLevel="0" collapsed="false">
      <c r="A36" s="34" t="s">
        <v>40</v>
      </c>
      <c r="B36" s="27"/>
      <c r="C36" s="34" t="s">
        <v>41</v>
      </c>
      <c r="D36" s="35" t="n">
        <f aca="false">Calc_M!O110</f>
        <v>0.584643480764404</v>
      </c>
      <c r="E36" s="36" t="s">
        <v>42</v>
      </c>
      <c r="F36" s="27"/>
      <c r="G36" s="29"/>
      <c r="H36" s="29"/>
      <c r="I36" s="12" t="s">
        <v>43</v>
      </c>
      <c r="J36" s="37" t="s">
        <v>44</v>
      </c>
      <c r="K36" s="16"/>
    </row>
    <row r="37" customFormat="false" ht="12.75" hidden="false" customHeight="true" outlineLevel="0" collapsed="false">
      <c r="A37" s="12"/>
      <c r="B37" s="12"/>
      <c r="C37" s="12"/>
      <c r="D37" s="12"/>
      <c r="E37" s="12"/>
      <c r="F37" s="12"/>
      <c r="G37" s="12"/>
      <c r="H37" s="12"/>
      <c r="I37" s="12"/>
      <c r="J37" s="12"/>
      <c r="K37" s="16"/>
    </row>
    <row r="38" customFormat="false" ht="18" hidden="false" customHeight="true" outlineLevel="0" collapsed="false">
      <c r="A38" s="34" t="s">
        <v>45</v>
      </c>
      <c r="B38" s="38" t="s">
        <v>46</v>
      </c>
      <c r="C38" s="38"/>
      <c r="D38" s="39" t="str">
        <f aca="false">IF(D36&gt;=0.75,"Excellent",IF(D36&gt;=0.6,"Good",IF(D36&gt;=0.45,"Fair",IF(D36&gt;=0.3,"Poor","Bad"))))</f>
        <v>Fair</v>
      </c>
      <c r="E38" s="1"/>
      <c r="I38" s="1"/>
      <c r="J38" s="1"/>
    </row>
    <row r="39" customFormat="false" ht="12.8" hidden="false" customHeight="false" outlineLevel="0" collapsed="false">
      <c r="B39" s="1"/>
      <c r="C39" s="1"/>
      <c r="D39" s="1"/>
      <c r="E39" s="1"/>
      <c r="I39" s="1"/>
      <c r="J39" s="1"/>
    </row>
    <row r="40" customFormat="false" ht="12.75" hidden="false" customHeight="true" outlineLevel="0" collapsed="false">
      <c r="B40" s="1"/>
      <c r="C40" s="1"/>
      <c r="D40" s="1"/>
      <c r="E40" s="1"/>
      <c r="I40" s="40"/>
      <c r="J40" s="40"/>
    </row>
    <row r="41" customFormat="false" ht="12.75" hidden="false" customHeight="true" outlineLevel="0" collapsed="false">
      <c r="B41" s="1"/>
      <c r="C41" s="1"/>
      <c r="D41" s="1"/>
      <c r="E41" s="1"/>
      <c r="I41" s="40"/>
      <c r="J41" s="40"/>
    </row>
    <row r="42" customFormat="false" ht="12.75" hidden="false" customHeight="true" outlineLevel="0" collapsed="false">
      <c r="B42" s="1"/>
      <c r="C42" s="1"/>
      <c r="D42" s="1"/>
      <c r="E42" s="1"/>
      <c r="I42" s="40"/>
      <c r="J42" s="40"/>
    </row>
    <row r="43" customFormat="false" ht="12.75" hidden="false" customHeight="true" outlineLevel="0" collapsed="false">
      <c r="B43" s="1"/>
      <c r="C43" s="1"/>
      <c r="D43" s="1"/>
      <c r="E43" s="1"/>
      <c r="I43" s="40"/>
      <c r="J43" s="40"/>
    </row>
    <row r="44" customFormat="false" ht="12.75" hidden="false" customHeight="true" outlineLevel="0" collapsed="false">
      <c r="B44" s="1"/>
      <c r="C44" s="1"/>
      <c r="D44" s="1"/>
      <c r="E44" s="1"/>
      <c r="I44" s="40"/>
      <c r="J44" s="40"/>
    </row>
    <row r="45" customFormat="false" ht="12.75" hidden="false" customHeight="true" outlineLevel="0" collapsed="false">
      <c r="B45" s="1"/>
      <c r="C45" s="1"/>
      <c r="D45" s="1"/>
      <c r="E45" s="1"/>
      <c r="I45" s="40"/>
      <c r="J45" s="40"/>
    </row>
    <row r="46" customFormat="false" ht="12.75" hidden="false" customHeight="true" outlineLevel="0" collapsed="false">
      <c r="B46" s="1"/>
      <c r="C46" s="1"/>
      <c r="D46" s="1"/>
      <c r="E46" s="1"/>
      <c r="I46" s="40"/>
      <c r="J46" s="40"/>
    </row>
    <row r="47" customFormat="false" ht="12.75" hidden="false" customHeight="true" outlineLevel="0" collapsed="false">
      <c r="B47" s="1"/>
      <c r="C47" s="1"/>
      <c r="D47" s="1"/>
      <c r="E47" s="1"/>
      <c r="I47" s="40"/>
      <c r="J47" s="40"/>
    </row>
    <row r="48" customFormat="false" ht="12.75" hidden="false" customHeight="true" outlineLevel="0" collapsed="false">
      <c r="B48" s="1"/>
      <c r="C48" s="1"/>
      <c r="D48" s="1"/>
      <c r="E48" s="1"/>
      <c r="I48" s="40"/>
      <c r="J48" s="40"/>
    </row>
    <row r="49" customFormat="false" ht="12.75" hidden="false" customHeight="true" outlineLevel="0" collapsed="false">
      <c r="B49" s="1"/>
      <c r="C49" s="1"/>
      <c r="D49" s="1"/>
      <c r="E49" s="1"/>
      <c r="I49" s="40"/>
      <c r="J49" s="40"/>
    </row>
    <row r="50" customFormat="false" ht="12.75" hidden="false" customHeight="true" outlineLevel="0" collapsed="false">
      <c r="B50" s="1"/>
      <c r="C50" s="1"/>
      <c r="D50" s="1"/>
      <c r="E50" s="1"/>
      <c r="I50" s="40"/>
      <c r="J50" s="40"/>
    </row>
    <row r="51" customFormat="false" ht="12.75" hidden="false" customHeight="true" outlineLevel="0" collapsed="false">
      <c r="B51" s="1"/>
      <c r="C51" s="1"/>
      <c r="D51" s="1"/>
      <c r="E51" s="1"/>
      <c r="I51" s="40"/>
      <c r="J51" s="40"/>
    </row>
    <row r="52" customFormat="false" ht="12.75" hidden="false" customHeight="true" outlineLevel="0" collapsed="false">
      <c r="B52" s="1"/>
      <c r="C52" s="1"/>
      <c r="D52" s="1"/>
      <c r="E52" s="1"/>
      <c r="I52" s="40"/>
      <c r="J52" s="40"/>
    </row>
    <row r="53" customFormat="false" ht="12.75" hidden="false" customHeight="true" outlineLevel="0" collapsed="false">
      <c r="B53" s="41" t="s">
        <v>47</v>
      </c>
      <c r="C53" s="41"/>
      <c r="D53" s="41"/>
      <c r="E53" s="41"/>
      <c r="F53" s="41"/>
      <c r="G53" s="41"/>
      <c r="H53" s="41"/>
      <c r="I53" s="41"/>
      <c r="J53" s="41"/>
    </row>
    <row r="54" customFormat="false" ht="12.75" hidden="false" customHeight="true" outlineLevel="0" collapsed="false">
      <c r="B54" s="1"/>
      <c r="C54" s="1"/>
      <c r="D54" s="1"/>
      <c r="E54" s="1"/>
      <c r="I54" s="40"/>
      <c r="J54" s="40"/>
    </row>
    <row r="55" customFormat="false" ht="12.75" hidden="false" customHeight="true" outlineLevel="0" collapsed="false">
      <c r="B55" s="11" t="s">
        <v>14</v>
      </c>
      <c r="C55" s="11" t="s">
        <v>15</v>
      </c>
      <c r="D55" s="11" t="s">
        <v>16</v>
      </c>
      <c r="E55" s="11" t="s">
        <v>17</v>
      </c>
      <c r="F55" s="11" t="s">
        <v>18</v>
      </c>
      <c r="G55" s="11" t="s">
        <v>19</v>
      </c>
      <c r="H55" s="11" t="s">
        <v>20</v>
      </c>
      <c r="I55" s="42"/>
      <c r="J55" s="42"/>
    </row>
    <row r="56" customFormat="false" ht="12.75" hidden="false" customHeight="true" outlineLevel="0" collapsed="false">
      <c r="A56" s="24" t="s">
        <v>48</v>
      </c>
      <c r="B56" s="43" t="n">
        <v>-2.5</v>
      </c>
      <c r="C56" s="44" t="n">
        <v>0.5</v>
      </c>
      <c r="D56" s="44" t="n">
        <v>0</v>
      </c>
      <c r="E56" s="44" t="n">
        <v>-6</v>
      </c>
      <c r="F56" s="44" t="n">
        <v>-12</v>
      </c>
      <c r="G56" s="44" t="n">
        <v>-18</v>
      </c>
      <c r="H56" s="45" t="n">
        <v>-24</v>
      </c>
      <c r="I56" s="9" t="s">
        <v>49</v>
      </c>
      <c r="J56" s="9"/>
    </row>
    <row r="57" customFormat="false" ht="34.3" hidden="false" customHeight="true" outlineLevel="0" collapsed="false">
      <c r="A57" s="46" t="s">
        <v>50</v>
      </c>
      <c r="B57" s="43" t="n">
        <v>-18.6</v>
      </c>
      <c r="C57" s="44" t="n">
        <v>-8.1</v>
      </c>
      <c r="D57" s="44" t="n">
        <v>-3.2</v>
      </c>
      <c r="E57" s="44" t="n">
        <v>-6</v>
      </c>
      <c r="F57" s="44" t="n">
        <v>-10.8</v>
      </c>
      <c r="G57" s="44" t="n">
        <v>-17</v>
      </c>
      <c r="H57" s="45" t="n">
        <v>-25.1</v>
      </c>
      <c r="I57" s="9" t="s">
        <v>51</v>
      </c>
      <c r="J57" s="9"/>
    </row>
    <row r="58" customFormat="false" ht="12.75" hidden="false" customHeight="true" outlineLevel="0" collapsed="false">
      <c r="B58" s="24"/>
      <c r="C58" s="24"/>
      <c r="D58" s="24"/>
      <c r="E58" s="24"/>
      <c r="F58" s="24"/>
      <c r="G58" s="24"/>
      <c r="H58" s="24"/>
      <c r="I58" s="1"/>
      <c r="J58" s="1"/>
    </row>
    <row r="59" customFormat="false" ht="12.75" hidden="false" customHeight="true" outlineLevel="0" collapsed="false">
      <c r="B59" s="33"/>
      <c r="C59" s="33"/>
      <c r="D59" s="47"/>
      <c r="E59" s="1"/>
      <c r="I59" s="1"/>
      <c r="J59" s="1"/>
    </row>
    <row r="60" customFormat="false" ht="12.75" hidden="false" customHeight="true" outlineLevel="0" collapsed="false">
      <c r="A60" s="1" t="s">
        <v>52</v>
      </c>
      <c r="B60" s="1"/>
      <c r="C60" s="1"/>
      <c r="D60" s="1"/>
      <c r="E60" s="1"/>
      <c r="I60" s="1"/>
      <c r="J60" s="1"/>
    </row>
    <row r="61" customFormat="false" ht="12.75" hidden="false" customHeight="true" outlineLevel="0" collapsed="false">
      <c r="A61" s="1" t="s">
        <v>53</v>
      </c>
      <c r="B61" s="1"/>
      <c r="C61" s="1"/>
      <c r="D61" s="1"/>
      <c r="E61" s="1"/>
      <c r="I61" s="1"/>
      <c r="J61" s="1"/>
    </row>
    <row r="62" customFormat="false" ht="12.75" hidden="false" customHeight="true" outlineLevel="0" collapsed="false">
      <c r="A62" s="1" t="s">
        <v>54</v>
      </c>
      <c r="B62" s="1"/>
      <c r="C62" s="1"/>
      <c r="D62" s="1"/>
      <c r="E62" s="1"/>
      <c r="I62" s="1"/>
      <c r="J62" s="1"/>
    </row>
    <row r="63" customFormat="false" ht="12.75" hidden="false" customHeight="true" outlineLevel="0" collapsed="false">
      <c r="B63" s="33"/>
      <c r="C63" s="33"/>
      <c r="D63" s="47"/>
      <c r="E63" s="1"/>
      <c r="I63" s="1"/>
      <c r="J63" s="1"/>
    </row>
    <row r="64" customFormat="false" ht="12.75" hidden="false" customHeight="true" outlineLevel="0" collapsed="false">
      <c r="B64" s="33"/>
      <c r="C64" s="33"/>
      <c r="D64" s="47"/>
    </row>
    <row r="65" customFormat="false" ht="12.75" hidden="false" customHeight="true" outlineLevel="0" collapsed="false">
      <c r="B65" s="33"/>
      <c r="C65" s="33"/>
      <c r="D65" s="47"/>
    </row>
    <row r="66" customFormat="false" ht="12.75" hidden="false" customHeight="true" outlineLevel="0" collapsed="false">
      <c r="B66" s="33"/>
      <c r="C66" s="33"/>
      <c r="D66" s="47"/>
    </row>
    <row r="67" customFormat="false" ht="12.75" hidden="false" customHeight="true" outlineLevel="0" collapsed="false">
      <c r="B67" s="33"/>
      <c r="C67" s="33"/>
      <c r="D67" s="47"/>
    </row>
    <row r="68" customFormat="false" ht="12.75" hidden="false" customHeight="true" outlineLevel="0" collapsed="false">
      <c r="B68" s="33"/>
      <c r="C68" s="33"/>
      <c r="D68" s="47"/>
    </row>
    <row r="69" customFormat="false" ht="12.75" hidden="false" customHeight="true" outlineLevel="0" collapsed="false">
      <c r="B69" s="33"/>
      <c r="C69" s="33"/>
      <c r="D69" s="47"/>
    </row>
  </sheetData>
  <sheetProtection sheet="true" objects="true" scenarios="true" selectLockedCells="true"/>
  <mergeCells count="8">
    <mergeCell ref="A8:J8"/>
    <mergeCell ref="I13:J13"/>
    <mergeCell ref="I24:J24"/>
    <mergeCell ref="B38:C38"/>
    <mergeCell ref="I40:J40"/>
    <mergeCell ref="B53:J53"/>
    <mergeCell ref="I56:J56"/>
    <mergeCell ref="I57:J57"/>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U147"/>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E109" activeCellId="0" sqref="E109"/>
    </sheetView>
  </sheetViews>
  <sheetFormatPr defaultColWidth="11.53515625" defaultRowHeight="12.8" zeroHeight="false" outlineLevelRow="0" outlineLevelCol="0"/>
  <cols>
    <col collapsed="false" customWidth="true" hidden="false" outlineLevel="0" max="5" min="1" style="0" width="11.18"/>
    <col collapsed="false" customWidth="true" hidden="false" outlineLevel="0" max="6" min="6" style="48" width="11.18"/>
    <col collapsed="false" customWidth="true" hidden="false" outlineLevel="0" max="7" min="7" style="48" width="12.88"/>
    <col collapsed="false" customWidth="true" hidden="false" outlineLevel="0" max="8" min="8" style="48" width="12.18"/>
    <col collapsed="false" customWidth="true" hidden="false" outlineLevel="0" max="9" min="9" style="0" width="11.18"/>
    <col collapsed="false" customWidth="true" hidden="false" outlineLevel="0" max="11" min="10" style="48" width="11.18"/>
    <col collapsed="false" customWidth="true" hidden="false" outlineLevel="0" max="12" min="12" style="0" width="11.18"/>
    <col collapsed="false" customWidth="true" hidden="false" outlineLevel="0" max="16" min="13" style="48" width="11.18"/>
    <col collapsed="false" customWidth="true" hidden="false" outlineLevel="0" max="17" min="17" style="0" width="11.18"/>
    <col collapsed="false" customWidth="true" hidden="false" outlineLevel="0" max="18" min="18" style="1" width="11.18"/>
    <col collapsed="false" customWidth="true" hidden="false" outlineLevel="0" max="64" min="19" style="0" width="11.18"/>
  </cols>
  <sheetData>
    <row r="1" customFormat="false" ht="14.65" hidden="false" customHeight="true" outlineLevel="0" collapsed="false">
      <c r="A1" s="1" t="s">
        <v>55</v>
      </c>
      <c r="F1" s="49"/>
    </row>
    <row r="2" customFormat="false" ht="14.65" hidden="false" customHeight="true" outlineLevel="0" collapsed="false">
      <c r="A2" s="48" t="s">
        <v>56</v>
      </c>
      <c r="B2" s="48" t="s">
        <v>57</v>
      </c>
      <c r="C2" s="31" t="s">
        <v>58</v>
      </c>
      <c r="D2" s="48" t="s">
        <v>59</v>
      </c>
      <c r="E2" s="48" t="s">
        <v>60</v>
      </c>
      <c r="F2" s="48" t="s">
        <v>61</v>
      </c>
      <c r="G2" s="48" t="s">
        <v>62</v>
      </c>
      <c r="H2" s="48" t="s">
        <v>63</v>
      </c>
      <c r="I2" s="48" t="s">
        <v>64</v>
      </c>
      <c r="J2" s="48" t="s">
        <v>65</v>
      </c>
      <c r="K2" s="48" t="s">
        <v>66</v>
      </c>
      <c r="L2" s="48" t="s">
        <v>58</v>
      </c>
      <c r="M2" s="48" t="s">
        <v>67</v>
      </c>
      <c r="N2" s="48" t="s">
        <v>68</v>
      </c>
      <c r="O2" s="48" t="s">
        <v>69</v>
      </c>
      <c r="P2" s="48" t="s">
        <v>70</v>
      </c>
    </row>
    <row r="3" customFormat="false" ht="14.65" hidden="false" customHeight="true" outlineLevel="0" collapsed="false">
      <c r="A3" s="50" t="s">
        <v>14</v>
      </c>
      <c r="B3" s="50"/>
      <c r="C3" s="51" t="n">
        <f aca="false">Main!B33</f>
        <v>0.6</v>
      </c>
      <c r="D3" s="52" t="n">
        <f aca="false">Main!B15</f>
        <v>80</v>
      </c>
      <c r="E3" s="52" t="n">
        <f aca="false">Main!B26</f>
        <v>50</v>
      </c>
      <c r="F3" s="49" t="n">
        <v>46</v>
      </c>
      <c r="G3" s="53" t="n">
        <f aca="false">10*LOG10(G4/(4*10^(-10)))</f>
        <v>80.0037408615136</v>
      </c>
      <c r="H3" s="48" t="n">
        <f aca="false">IF(G3&lt;=63,(POWER(10,((0.5*G3-65)/10))),IF(G3&lt;=67,(POWER(10,((1.8*G3-146.9)/10))),IF(G3&lt;=100,(POWER(10,((0.5*G3-59.8)/10))),0.1)))</f>
        <v>0.0104757962522279</v>
      </c>
      <c r="L3" s="54" t="n">
        <f aca="false">AVERAGE(K4:K17)</f>
        <v>0.592681417682629</v>
      </c>
      <c r="M3" s="48" t="n">
        <v>0.085</v>
      </c>
      <c r="N3" s="48" t="n">
        <v>0.085</v>
      </c>
      <c r="O3" s="48" t="n">
        <f aca="false">M3*L3</f>
        <v>0.0503779205030235</v>
      </c>
      <c r="P3" s="48" t="n">
        <f aca="false">N3*SQRT(L3*L18)</f>
        <v>0.0500196589241809</v>
      </c>
    </row>
    <row r="4" customFormat="false" ht="14.65" hidden="false" customHeight="true" outlineLevel="0" collapsed="false">
      <c r="A4" s="31" t="n">
        <f aca="false">IF(C3&lt;0.05,0.05,IF(C3&gt;0.95,0.95,IF(AND(C3&gt;=0.4995,C3&lt;=0.5005),0.5,10^((3*(C3-0.5)))/(10^((3*(C3-0.5)))+1))))</f>
        <v>0.666139424583122</v>
      </c>
      <c r="B4" s="48" t="n">
        <v>0.63</v>
      </c>
      <c r="C4" s="48" t="n">
        <f aca="false">1/SQRT(1+(2*PI()*B4*A$6/13.8)^2)</f>
        <v>0.963004662951908</v>
      </c>
      <c r="D4" s="48" t="n">
        <f aca="false">10^((D3-93.98)/10)</f>
        <v>0.0399944749761097</v>
      </c>
      <c r="E4" s="48" t="n">
        <f aca="false">10^((E3-93.98)/10)</f>
        <v>3.99944749761097E-005</v>
      </c>
      <c r="F4" s="48" t="n">
        <f aca="false">10^((F3-93.98)/10)</f>
        <v>1.59220872705117E-005</v>
      </c>
      <c r="G4" s="48" t="n">
        <f aca="false">D4+E4</f>
        <v>0.0400344694510858</v>
      </c>
      <c r="H4" s="48" t="n">
        <v>0</v>
      </c>
      <c r="I4" s="1" t="n">
        <f aca="false">C4*D$4/(D$4+E$4+F$4+H$4)</f>
        <v>0.961660158987991</v>
      </c>
      <c r="J4" s="48" t="n">
        <f aca="false">10*LOG10(I4/(1-I4))</f>
        <v>13.9937131624551</v>
      </c>
      <c r="K4" s="48" t="n">
        <f aca="false">(IF(J4&lt;-15,-15,IF(J4&gt;15,15,J4))+15)/30</f>
        <v>0.966457105415171</v>
      </c>
      <c r="L4" s="1"/>
    </row>
    <row r="5" customFormat="false" ht="14.65" hidden="false" customHeight="true" outlineLevel="0" collapsed="false">
      <c r="A5" s="24" t="n">
        <f aca="false">(SQRT(1-A4*A4))/A4/1.278</f>
        <v>0.876076937588525</v>
      </c>
      <c r="B5" s="48" t="n">
        <v>0.8</v>
      </c>
      <c r="C5" s="48" t="n">
        <f aca="false">1/SQRT(1+(2*PI()*B5*A$6/13.8)^2)</f>
        <v>0.942276083660808</v>
      </c>
      <c r="I5" s="1" t="n">
        <f aca="false">C5*D$4/(D$4+E$4+F$4+H$4)</f>
        <v>0.940960520010574</v>
      </c>
      <c r="J5" s="48" t="n">
        <f aca="false">10*LOG10(I5/(1-I5))</f>
        <v>12.0242887843222</v>
      </c>
      <c r="K5" s="48" t="n">
        <f aca="false">(IF(J5&lt;-15,-15,IF(J5&gt;15,15,J5))+15)/30</f>
        <v>0.900809626144074</v>
      </c>
      <c r="L5" s="1"/>
    </row>
    <row r="6" customFormat="false" ht="14.65" hidden="false" customHeight="true" outlineLevel="0" collapsed="false">
      <c r="A6" s="24" t="n">
        <f aca="false">A5*A5*A5*0.00414062467-A5*A5*0.04009697581+A5*1.14553203124</f>
        <v>0.975583481699507</v>
      </c>
      <c r="B6" s="48" t="n">
        <v>1</v>
      </c>
      <c r="C6" s="48" t="n">
        <f aca="false">1/SQRT(1+(2*PI()*B6*A$6/13.8)^2)</f>
        <v>0.913899063486714</v>
      </c>
      <c r="I6" s="1" t="n">
        <f aca="false">C6*D$4/(D$4+E$4+F$4+H$4)</f>
        <v>0.912623118560641</v>
      </c>
      <c r="J6" s="48" t="n">
        <f aca="false">10*LOG10(I6/(1-I6))</f>
        <v>10.1889492583616</v>
      </c>
      <c r="K6" s="48" t="n">
        <f aca="false">(IF(J6&lt;-15,-15,IF(J6&gt;15,15,J6))+15)/30</f>
        <v>0.839631641945386</v>
      </c>
      <c r="L6" s="1"/>
    </row>
    <row r="7" customFormat="false" ht="14.65" hidden="false" customHeight="true" outlineLevel="0" collapsed="false">
      <c r="B7" s="48" t="n">
        <v>1.25</v>
      </c>
      <c r="C7" s="48" t="n">
        <f aca="false">1/SQRT(1+(2*PI()*B7*A$6/13.8)^2)</f>
        <v>0.874276985308814</v>
      </c>
      <c r="I7" s="1" t="n">
        <f aca="false">C7*D$4/(D$4+E$4+F$4+H$4)</f>
        <v>0.873056358953064</v>
      </c>
      <c r="J7" s="48" t="n">
        <f aca="false">10*LOG10(I7/(1-I7))</f>
        <v>8.37431329133755</v>
      </c>
      <c r="K7" s="48" t="n">
        <f aca="false">(IF(J7&lt;-15,-15,IF(J7&gt;15,15,J7))+15)/30</f>
        <v>0.779143776377918</v>
      </c>
      <c r="L7" s="1"/>
    </row>
    <row r="8" customFormat="false" ht="14.65" hidden="false" customHeight="true" outlineLevel="0" collapsed="false">
      <c r="B8" s="48" t="n">
        <v>1.6</v>
      </c>
      <c r="C8" s="48" t="n">
        <f aca="false">1/SQRT(1+(2*PI()*B8*A$6/13.8)^2)</f>
        <v>0.815114258975178</v>
      </c>
      <c r="I8" s="1" t="n">
        <f aca="false">C8*D$4/(D$4+E$4+F$4+H$4)</f>
        <v>0.813976232967206</v>
      </c>
      <c r="J8" s="48" t="n">
        <f aca="false">10*LOG10(I8/(1-I8))</f>
        <v>6.41043289536678</v>
      </c>
      <c r="K8" s="48" t="n">
        <f aca="false">(IF(J8&lt;-15,-15,IF(J8&gt;15,15,J8))+15)/30</f>
        <v>0.713681096512226</v>
      </c>
      <c r="L8" s="1"/>
    </row>
    <row r="9" customFormat="false" ht="14.65" hidden="false" customHeight="true" outlineLevel="0" collapsed="false">
      <c r="B9" s="48" t="n">
        <v>2</v>
      </c>
      <c r="C9" s="48" t="n">
        <f aca="false">1/SQRT(1+(2*PI()*B9*A$6/13.8)^2)</f>
        <v>0.747600899489693</v>
      </c>
      <c r="I9" s="1" t="n">
        <f aca="false">C9*D$4/(D$4+E$4+F$4+H$4)</f>
        <v>0.746557132609363</v>
      </c>
      <c r="J9" s="48" t="n">
        <f aca="false">10*LOG10(I9/(1-I9))</f>
        <v>4.69182975631689</v>
      </c>
      <c r="K9" s="48" t="n">
        <f aca="false">(IF(J9&lt;-15,-15,IF(J9&gt;15,15,J9))+15)/30</f>
        <v>0.656394325210563</v>
      </c>
      <c r="L9" s="1"/>
    </row>
    <row r="10" customFormat="false" ht="14.65" hidden="false" customHeight="true" outlineLevel="0" collapsed="false">
      <c r="B10" s="48" t="n">
        <v>2.5</v>
      </c>
      <c r="C10" s="48" t="n">
        <f aca="false">1/SQRT(1+(2*PI()*B10*A$6/13.8)^2)</f>
        <v>0.66917939017818</v>
      </c>
      <c r="D10" s="1"/>
      <c r="E10" s="1"/>
      <c r="I10" s="1" t="n">
        <f aca="false">C10*D$4/(D$4+E$4+F$4+H$4)</f>
        <v>0.668245111895551</v>
      </c>
      <c r="J10" s="48" t="n">
        <f aca="false">10*LOG10(I10/(1-I10))</f>
        <v>3.04118460131531</v>
      </c>
      <c r="K10" s="48" t="n">
        <f aca="false">(IF(J10&lt;-15,-15,IF(J10&gt;15,15,J10))+15)/30</f>
        <v>0.601372820043844</v>
      </c>
      <c r="L10" s="1"/>
    </row>
    <row r="11" customFormat="false" ht="14.65" hidden="false" customHeight="true" outlineLevel="0" collapsed="false">
      <c r="B11" s="48" t="n">
        <v>3.15</v>
      </c>
      <c r="C11" s="48" t="n">
        <f aca="false">1/SQRT(1+(2*PI()*B11*A$6/13.8)^2)</f>
        <v>0.581461748295062</v>
      </c>
      <c r="D11" s="1"/>
      <c r="E11" s="1"/>
      <c r="I11" s="1" t="n">
        <f aca="false">C11*D$4/(D$4+E$4+F$4+H$4)</f>
        <v>0.580649937453926</v>
      </c>
      <c r="J11" s="48" t="n">
        <f aca="false">10*LOG10(I11/(1-I11))</f>
        <v>1.4133767146507</v>
      </c>
      <c r="K11" s="48" t="n">
        <f aca="false">(IF(J11&lt;-15,-15,IF(J11&gt;15,15,J11))+15)/30</f>
        <v>0.547112557155023</v>
      </c>
      <c r="L11" s="1"/>
    </row>
    <row r="12" customFormat="false" ht="14.65" hidden="false" customHeight="true" outlineLevel="0" collapsed="false">
      <c r="B12" s="48" t="n">
        <v>4</v>
      </c>
      <c r="C12" s="48" t="n">
        <f aca="false">1/SQRT(1+(2*PI()*B12*A$6/13.8)^2)</f>
        <v>0.490477581002488</v>
      </c>
      <c r="I12" s="1" t="n">
        <f aca="false">C12*D$4/(D$4+E$4+F$4+H$4)</f>
        <v>0.489792798179268</v>
      </c>
      <c r="J12" s="48" t="n">
        <f aca="false">10*LOG10(I12/(1-I12))</f>
        <v>-0.177341895414507</v>
      </c>
      <c r="K12" s="48" t="n">
        <f aca="false">(IF(J12&lt;-15,-15,IF(J12&gt;15,15,J12))+15)/30</f>
        <v>0.494088603486183</v>
      </c>
      <c r="L12" s="1"/>
    </row>
    <row r="13" customFormat="false" ht="14.65" hidden="false" customHeight="true" outlineLevel="0" collapsed="false">
      <c r="B13" s="48" t="n">
        <v>5</v>
      </c>
      <c r="C13" s="48" t="n">
        <f aca="false">1/SQRT(1+(2*PI()*B13*A$6/13.8)^2)</f>
        <v>0.410562927729329</v>
      </c>
      <c r="I13" s="1" t="n">
        <f aca="false">C13*D$4/(D$4+E$4+F$4+H$4)</f>
        <v>0.40998971816451</v>
      </c>
      <c r="J13" s="48" t="n">
        <f aca="false">10*LOG10(I13/(1-I13))</f>
        <v>-1.58086614457339</v>
      </c>
      <c r="K13" s="48" t="n">
        <f aca="false">(IF(J13&lt;-15,-15,IF(J13&gt;15,15,J13))+15)/30</f>
        <v>0.447304461847554</v>
      </c>
      <c r="L13" s="1"/>
    </row>
    <row r="14" customFormat="false" ht="14.65" hidden="false" customHeight="true" outlineLevel="0" collapsed="false">
      <c r="B14" s="48" t="n">
        <v>6.3</v>
      </c>
      <c r="C14" s="48" t="n">
        <f aca="false">1/SQRT(1+(2*PI()*B14*A$6/13.8)^2)</f>
        <v>0.336509692693801</v>
      </c>
      <c r="I14" s="1" t="n">
        <f aca="false">C14*D$4/(D$4+E$4+F$4+H$4)</f>
        <v>0.336039872937855</v>
      </c>
      <c r="J14" s="48" t="n">
        <f aca="false">10*LOG10(I14/(1-I14))</f>
        <v>-2.95751187549923</v>
      </c>
      <c r="K14" s="48" t="n">
        <f aca="false">(IF(J14&lt;-15,-15,IF(J14&gt;15,15,J14))+15)/30</f>
        <v>0.401416270816693</v>
      </c>
      <c r="L14" s="1"/>
    </row>
    <row r="15" customFormat="false" ht="14.65" hidden="false" customHeight="true" outlineLevel="0" collapsed="false">
      <c r="B15" s="48" t="n">
        <v>8</v>
      </c>
      <c r="C15" s="48" t="n">
        <f aca="false">1/SQRT(1+(2*PI()*B15*A$6/13.8)^2)</f>
        <v>0.270891345602166</v>
      </c>
      <c r="I15" s="1" t="n">
        <f aca="false">C15*D$4/(D$4+E$4+F$4+H$4)</f>
        <v>0.270513139242463</v>
      </c>
      <c r="J15" s="48" t="n">
        <f aca="false">10*LOG10(I15/(1-I15))</f>
        <v>-4.3082910964032</v>
      </c>
      <c r="K15" s="48" t="n">
        <f aca="false">(IF(J15&lt;-15,-15,IF(J15&gt;15,15,J15))+15)/30</f>
        <v>0.35639029678656</v>
      </c>
      <c r="L15" s="1"/>
    </row>
    <row r="16" customFormat="false" ht="14.65" hidden="false" customHeight="true" outlineLevel="0" collapsed="false">
      <c r="B16" s="48" t="n">
        <v>10</v>
      </c>
      <c r="C16" s="48" t="n">
        <f aca="false">1/SQRT(1+(2*PI()*B16*A$6/13.8)^2)</f>
        <v>0.2196335858773</v>
      </c>
      <c r="I16" s="1" t="n">
        <f aca="false">C16*D$4/(D$4+E$4+F$4+H$4)</f>
        <v>0.219326943305169</v>
      </c>
      <c r="J16" s="48" t="n">
        <f aca="false">10*LOG10(I16/(1-I16))</f>
        <v>-5.51377204821205</v>
      </c>
      <c r="K16" s="48" t="n">
        <f aca="false">(IF(J16&lt;-15,-15,IF(J16&gt;15,15,J16))+15)/30</f>
        <v>0.316207598392932</v>
      </c>
      <c r="L16" s="1"/>
    </row>
    <row r="17" customFormat="false" ht="14.65" hidden="false" customHeight="true" outlineLevel="0" collapsed="false">
      <c r="B17" s="48" t="n">
        <v>12.5</v>
      </c>
      <c r="C17" s="48" t="n">
        <f aca="false">1/SQRT(1+(2*PI()*B17*A$6/13.8)^2)</f>
        <v>0.177252695194472</v>
      </c>
      <c r="I17" s="1" t="n">
        <f aca="false">C17*D$4/(D$4+E$4+F$4+H$4)</f>
        <v>0.177005222923078</v>
      </c>
      <c r="J17" s="48" t="n">
        <f aca="false">10*LOG10(I17/(1-I17))</f>
        <v>-6.67410997731957</v>
      </c>
      <c r="K17" s="48" t="n">
        <f aca="false">(IF(J17&lt;-15,-15,IF(J17&gt;15,15,J17))+15)/30</f>
        <v>0.277529667422681</v>
      </c>
      <c r="L17" s="1"/>
    </row>
    <row r="18" customFormat="false" ht="14.65" hidden="false" customHeight="true" outlineLevel="0" collapsed="false">
      <c r="A18" s="50" t="s">
        <v>15</v>
      </c>
      <c r="B18" s="50"/>
      <c r="C18" s="51" t="n">
        <f aca="false">Main!C33</f>
        <v>0.6</v>
      </c>
      <c r="D18" s="52" t="n">
        <f aca="false">Main!C15</f>
        <v>80</v>
      </c>
      <c r="E18" s="52" t="n">
        <f aca="false">Main!C26</f>
        <v>50</v>
      </c>
      <c r="F18" s="48" t="n">
        <v>27</v>
      </c>
      <c r="G18" s="53" t="n">
        <f aca="false">10*LOG10(G19/(4*10^(-10)))</f>
        <v>80.0037408615136</v>
      </c>
      <c r="H18" s="48" t="n">
        <f aca="false">IF(G18&lt;=63,(POWER(10,((0.5*G18-65)/10))),IF(G18&lt;=67,(POWER(10,((1.8*G18-146.9)/10))),IF(G18&lt;=100,(POWER(10,((0.5*G18-59.8)/10))),0.1)))</f>
        <v>0.0104757962522279</v>
      </c>
      <c r="L18" s="54" t="n">
        <f aca="false">AVERAGE(K19:K32)</f>
        <v>0.584281707240292</v>
      </c>
      <c r="M18" s="48" t="n">
        <v>0.127</v>
      </c>
      <c r="N18" s="48" t="n">
        <v>0.078</v>
      </c>
      <c r="O18" s="48" t="n">
        <f aca="false">M18*L18</f>
        <v>0.0742037768195171</v>
      </c>
      <c r="P18" s="48" t="n">
        <f aca="false">N18*SQRT(L18*L33)</f>
        <v>0.0455741211589012</v>
      </c>
    </row>
    <row r="19" customFormat="false" ht="14.65" hidden="false" customHeight="true" outlineLevel="0" collapsed="false">
      <c r="A19" s="31" t="n">
        <f aca="false">IF(C18&lt;0.05,0.05,IF(C18&gt;0.95,0.95,IF(AND(C18&gt;=0.4995,C18&lt;=0.5005),0.5,10^((3*(C18-0.5)))/(10^((3*(C18-0.5)))+1))))</f>
        <v>0.666139424583122</v>
      </c>
      <c r="B19" s="48" t="n">
        <v>0.63</v>
      </c>
      <c r="C19" s="48" t="n">
        <f aca="false">1/SQRT(1+(2*PI()*B19*A$21/13.8)^2)</f>
        <v>0.963004662951908</v>
      </c>
      <c r="D19" s="48" t="n">
        <f aca="false">10^((D18-93.98)/10)</f>
        <v>0.0399944749761097</v>
      </c>
      <c r="E19" s="48" t="n">
        <f aca="false">10^((E18-93.98)/10)</f>
        <v>3.99944749761097E-005</v>
      </c>
      <c r="F19" s="48" t="n">
        <f aca="false">10^((F18-93.98)/10)</f>
        <v>2.00447202736516E-007</v>
      </c>
      <c r="G19" s="48" t="n">
        <f aca="false">D19+E19</f>
        <v>0.0400344694510858</v>
      </c>
      <c r="H19" s="48" t="n">
        <f aca="false">G4*H3</f>
        <v>0.000419392945035616</v>
      </c>
      <c r="I19" s="1" t="n">
        <f aca="false">C19*D$19/(D$19+E$19+F$19+H$19)</f>
        <v>0.952064222658488</v>
      </c>
      <c r="J19" s="48" t="n">
        <f aca="false">10*LOG10(I19/(1-I19))</f>
        <v>12.9800647081979</v>
      </c>
      <c r="K19" s="48" t="n">
        <f aca="false">(IF(J19&lt;-15,-15,IF(J19&gt;15,15,J19))+15)/30</f>
        <v>0.932668823606597</v>
      </c>
      <c r="L19" s="1"/>
    </row>
    <row r="20" customFormat="false" ht="14.65" hidden="false" customHeight="true" outlineLevel="0" collapsed="false">
      <c r="A20" s="24" t="n">
        <f aca="false">(SQRT(1-A19*A19))/A19/1.278</f>
        <v>0.876076937588525</v>
      </c>
      <c r="B20" s="48" t="n">
        <v>0.8</v>
      </c>
      <c r="C20" s="48" t="n">
        <f aca="false">1/SQRT(1+(2*PI()*B20*A$21/13.8)^2)</f>
        <v>0.942276083660808</v>
      </c>
      <c r="I20" s="1" t="n">
        <f aca="false">C20*D$19/(D$19+E$19+F$19+H$19)</f>
        <v>0.931571135253177</v>
      </c>
      <c r="J20" s="48" t="n">
        <f aca="false">10*LOG10(I20/(1-I20))</f>
        <v>11.339766884551</v>
      </c>
      <c r="K20" s="48" t="n">
        <f aca="false">(IF(J20&lt;-15,-15,IF(J20&gt;15,15,J20))+15)/30</f>
        <v>0.877992229485033</v>
      </c>
      <c r="L20" s="1"/>
    </row>
    <row r="21" customFormat="false" ht="14.65" hidden="false" customHeight="true" outlineLevel="0" collapsed="false">
      <c r="A21" s="24" t="n">
        <f aca="false">A20*A20*A20*0.00414062467-A20*A20*0.04009697581+A20*1.14553203124</f>
        <v>0.975583481699507</v>
      </c>
      <c r="B21" s="48" t="n">
        <v>1</v>
      </c>
      <c r="C21" s="48" t="n">
        <f aca="false">1/SQRT(1+(2*PI()*B21*A$21/13.8)^2)</f>
        <v>0.913899063486714</v>
      </c>
      <c r="I21" s="1" t="n">
        <f aca="false">C21*D$19/(D$19+E$19+F$19+H$19)</f>
        <v>0.903516498871045</v>
      </c>
      <c r="J21" s="48" t="n">
        <f aca="false">10*LOG10(I21/(1-I21))</f>
        <v>9.71483033033142</v>
      </c>
      <c r="K21" s="48" t="n">
        <f aca="false">(IF(J21&lt;-15,-15,IF(J21&gt;15,15,J21))+15)/30</f>
        <v>0.823827677677714</v>
      </c>
      <c r="L21" s="1"/>
    </row>
    <row r="22" customFormat="false" ht="14.65" hidden="false" customHeight="true" outlineLevel="0" collapsed="false">
      <c r="B22" s="48" t="n">
        <v>1.25</v>
      </c>
      <c r="C22" s="48" t="n">
        <f aca="false">1/SQRT(1+(2*PI()*B22*A$21/13.8)^2)</f>
        <v>0.874276985308814</v>
      </c>
      <c r="I22" s="1" t="n">
        <f aca="false">C22*D$19/(D$19+E$19+F$19+H$19)</f>
        <v>0.864344556603471</v>
      </c>
      <c r="J22" s="48" t="n">
        <f aca="false">10*LOG10(I22/(1-I22))</f>
        <v>8.04249676053952</v>
      </c>
      <c r="K22" s="48" t="n">
        <f aca="false">(IF(J22&lt;-15,-15,IF(J22&gt;15,15,J22))+15)/30</f>
        <v>0.768083225351317</v>
      </c>
      <c r="L22" s="1"/>
    </row>
    <row r="23" customFormat="false" ht="14.65" hidden="false" customHeight="true" outlineLevel="0" collapsed="false">
      <c r="B23" s="48" t="n">
        <v>1.6</v>
      </c>
      <c r="C23" s="48" t="n">
        <f aca="false">1/SQRT(1+(2*PI()*B23*A$21/13.8)^2)</f>
        <v>0.815114258975178</v>
      </c>
      <c r="I23" s="1" t="n">
        <f aca="false">C23*D$19/(D$19+E$19+F$19+H$19)</f>
        <v>0.805853962295723</v>
      </c>
      <c r="J23" s="48" t="n">
        <f aca="false">10*LOG10(I23/(1-I23))</f>
        <v>6.18127814106656</v>
      </c>
      <c r="K23" s="48" t="n">
        <f aca="false">(IF(J23&lt;-15,-15,IF(J23&gt;15,15,J23))+15)/30</f>
        <v>0.706042604702219</v>
      </c>
      <c r="L23" s="1"/>
    </row>
    <row r="24" customFormat="false" ht="14.65" hidden="false" customHeight="true" outlineLevel="0" collapsed="false">
      <c r="B24" s="48" t="n">
        <v>2</v>
      </c>
      <c r="C24" s="48" t="n">
        <f aca="false">1/SQRT(1+(2*PI()*B24*A$21/13.8)^2)</f>
        <v>0.747600899489693</v>
      </c>
      <c r="I24" s="1" t="n">
        <f aca="false">C24*D$19/(D$19+E$19+F$19+H$19)</f>
        <v>0.73910760416223</v>
      </c>
      <c r="J24" s="48" t="n">
        <f aca="false">10*LOG10(I24/(1-I24))</f>
        <v>4.5224624943696</v>
      </c>
      <c r="K24" s="48" t="n">
        <f aca="false">(IF(J24&lt;-15,-15,IF(J24&gt;15,15,J24))+15)/30</f>
        <v>0.65074874981232</v>
      </c>
      <c r="L24" s="1"/>
    </row>
    <row r="25" customFormat="false" ht="14.65" hidden="false" customHeight="true" outlineLevel="0" collapsed="false">
      <c r="A25" s="1"/>
      <c r="B25" s="48" t="n">
        <v>2.5</v>
      </c>
      <c r="C25" s="48" t="n">
        <f aca="false">1/SQRT(1+(2*PI()*B25*A$21/13.8)^2)</f>
        <v>0.66917939017818</v>
      </c>
      <c r="D25" s="1"/>
      <c r="E25" s="1"/>
      <c r="I25" s="1" t="n">
        <f aca="false">C25*D$19/(D$19+E$19+F$19+H$19)</f>
        <v>0.661577020796717</v>
      </c>
      <c r="J25" s="48" t="n">
        <f aca="false">10*LOG10(I25/(1-I25))</f>
        <v>2.91120567703753</v>
      </c>
      <c r="K25" s="48" t="n">
        <f aca="false">(IF(J25&lt;-15,-15,IF(J25&gt;15,15,J25))+15)/30</f>
        <v>0.597040189234585</v>
      </c>
      <c r="L25" s="1"/>
    </row>
    <row r="26" customFormat="false" ht="14.65" hidden="false" customHeight="true" outlineLevel="0" collapsed="false">
      <c r="A26" s="1"/>
      <c r="B26" s="48" t="n">
        <v>3.15</v>
      </c>
      <c r="C26" s="48" t="n">
        <f aca="false">1/SQRT(1+(2*PI()*B26*A$21/13.8)^2)</f>
        <v>0.581461748295062</v>
      </c>
      <c r="D26" s="1"/>
      <c r="E26" s="1"/>
      <c r="I26" s="1" t="n">
        <f aca="false">C26*D$19/(D$19+E$19+F$19+H$19)</f>
        <v>0.574855915753576</v>
      </c>
      <c r="J26" s="48" t="n">
        <f aca="false">10*LOG10(I26/(1-I26))</f>
        <v>1.31022864601445</v>
      </c>
      <c r="K26" s="48" t="n">
        <f aca="false">(IF(J26&lt;-15,-15,IF(J26&gt;15,15,J26))+15)/30</f>
        <v>0.543674288200482</v>
      </c>
      <c r="L26" s="1"/>
    </row>
    <row r="27" customFormat="false" ht="14.65" hidden="false" customHeight="true" outlineLevel="0" collapsed="false">
      <c r="B27" s="48" t="n">
        <v>4</v>
      </c>
      <c r="C27" s="48" t="n">
        <f aca="false">1/SQRT(1+(2*PI()*B27*A$21/13.8)^2)</f>
        <v>0.490477581002488</v>
      </c>
      <c r="I27" s="1" t="n">
        <f aca="false">C27*D$19/(D$19+E$19+F$19+H$19)</f>
        <v>0.484905395428879</v>
      </c>
      <c r="J27" s="48" t="n">
        <f aca="false">10*LOG10(I27/(1-I27))</f>
        <v>-0.262299843919653</v>
      </c>
      <c r="K27" s="48" t="n">
        <f aca="false">(IF(J27&lt;-15,-15,IF(J27&gt;15,15,J27))+15)/30</f>
        <v>0.491256671869345</v>
      </c>
      <c r="L27" s="1"/>
    </row>
    <row r="28" customFormat="false" ht="14.65" hidden="false" customHeight="true" outlineLevel="0" collapsed="false">
      <c r="B28" s="48" t="n">
        <v>5</v>
      </c>
      <c r="C28" s="48" t="n">
        <f aca="false">1/SQRT(1+(2*PI()*B28*A$21/13.8)^2)</f>
        <v>0.410562927729329</v>
      </c>
      <c r="I28" s="1" t="n">
        <f aca="false">C28*D$19/(D$19+E$19+F$19+H$19)</f>
        <v>0.405898631313831</v>
      </c>
      <c r="J28" s="48" t="n">
        <f aca="false">10*LOG10(I28/(1-I28))</f>
        <v>-1.65442966019072</v>
      </c>
      <c r="K28" s="48" t="n">
        <f aca="false">(IF(J28&lt;-15,-15,IF(J28&gt;15,15,J28))+15)/30</f>
        <v>0.444852344660309</v>
      </c>
      <c r="L28" s="1"/>
    </row>
    <row r="29" customFormat="false" ht="14.65" hidden="false" customHeight="true" outlineLevel="0" collapsed="false">
      <c r="B29" s="48" t="n">
        <v>6.3</v>
      </c>
      <c r="C29" s="48" t="n">
        <f aca="false">1/SQRT(1+(2*PI()*B29*A$21/13.8)^2)</f>
        <v>0.336509692693801</v>
      </c>
      <c r="I29" s="1" t="n">
        <f aca="false">C29*D$19/(D$19+E$19+F$19+H$19)</f>
        <v>0.332686695420051</v>
      </c>
      <c r="J29" s="48" t="n">
        <f aca="false">10*LOG10(I29/(1-I29))</f>
        <v>-3.02294350490259</v>
      </c>
      <c r="K29" s="48" t="n">
        <f aca="false">(IF(J29&lt;-15,-15,IF(J29&gt;15,15,J29))+15)/30</f>
        <v>0.399235216503247</v>
      </c>
      <c r="L29" s="1"/>
    </row>
    <row r="30" customFormat="false" ht="14.65" hidden="false" customHeight="true" outlineLevel="0" collapsed="false">
      <c r="B30" s="48" t="n">
        <v>8</v>
      </c>
      <c r="C30" s="48" t="n">
        <f aca="false">1/SQRT(1+(2*PI()*B30*A$21/13.8)^2)</f>
        <v>0.270891345602166</v>
      </c>
      <c r="I30" s="1" t="n">
        <f aca="false">C30*D$19/(D$19+E$19+F$19+H$19)</f>
        <v>0.267813820947737</v>
      </c>
      <c r="J30" s="48" t="n">
        <f aca="false">10*LOG10(I30/(1-I30))</f>
        <v>-4.3678854106591</v>
      </c>
      <c r="K30" s="48" t="n">
        <f aca="false">(IF(J30&lt;-15,-15,IF(J30&gt;15,15,J30))+15)/30</f>
        <v>0.354403819644697</v>
      </c>
      <c r="L30" s="1"/>
    </row>
    <row r="31" customFormat="false" ht="14.65" hidden="false" customHeight="true" outlineLevel="0" collapsed="false">
      <c r="B31" s="48" t="n">
        <v>10</v>
      </c>
      <c r="C31" s="48" t="n">
        <f aca="false">1/SQRT(1+(2*PI()*B31*A$21/13.8)^2)</f>
        <v>0.2196335858773</v>
      </c>
      <c r="I31" s="1" t="n">
        <f aca="false">C31*D$19/(D$19+E$19+F$19+H$19)</f>
        <v>0.217138387021923</v>
      </c>
      <c r="J31" s="48" t="n">
        <f aca="false">10*LOG10(I31/(1-I31))</f>
        <v>-5.56948390872081</v>
      </c>
      <c r="K31" s="48" t="n">
        <f aca="false">(IF(J31&lt;-15,-15,IF(J31&gt;15,15,J31))+15)/30</f>
        <v>0.314350536375973</v>
      </c>
      <c r="L31" s="1"/>
    </row>
    <row r="32" customFormat="false" ht="14.65" hidden="false" customHeight="true" outlineLevel="0" collapsed="false">
      <c r="B32" s="48" t="n">
        <v>12.5</v>
      </c>
      <c r="C32" s="48" t="n">
        <f aca="false">1/SQRT(1+(2*PI()*B32*A$21/13.8)^2)</f>
        <v>0.177252695194472</v>
      </c>
      <c r="I32" s="1" t="n">
        <f aca="false">C32*D$19/(D$19+E$19+F$19+H$19)</f>
        <v>0.175238974385812</v>
      </c>
      <c r="J32" s="48" t="n">
        <f aca="false">10*LOG10(I32/(1-I32))</f>
        <v>-6.72697427279265</v>
      </c>
      <c r="K32" s="48" t="n">
        <f aca="false">(IF(J32&lt;-15,-15,IF(J32&gt;15,15,J32))+15)/30</f>
        <v>0.275767524240245</v>
      </c>
      <c r="L32" s="1"/>
    </row>
    <row r="33" customFormat="false" ht="14.65" hidden="false" customHeight="true" outlineLevel="0" collapsed="false">
      <c r="A33" s="50" t="s">
        <v>16</v>
      </c>
      <c r="B33" s="50"/>
      <c r="C33" s="51" t="n">
        <f aca="false">Main!D33</f>
        <v>0.6</v>
      </c>
      <c r="D33" s="52" t="n">
        <f aca="false">Main!D15</f>
        <v>80</v>
      </c>
      <c r="E33" s="52" t="n">
        <f aca="false">Main!D26</f>
        <v>50</v>
      </c>
      <c r="F33" s="48" t="n">
        <v>12</v>
      </c>
      <c r="G33" s="53" t="n">
        <f aca="false">10*LOG10(G34/(4*10^(-10)))</f>
        <v>80.0037408615136</v>
      </c>
      <c r="H33" s="48" t="n">
        <f aca="false">IF(G33&lt;=63,(POWER(10,((0.5*G33-65)/10))),IF(G33&lt;=67,(POWER(10,((1.8*G33-146.9)/10))),IF(G33&lt;=100,(POWER(10,((0.5*G33-59.8)/10))),0.1)))</f>
        <v>0.0104757962522279</v>
      </c>
      <c r="L33" s="54" t="n">
        <f aca="false">AVERAGE(K34:K47)</f>
        <v>0.584285501968465</v>
      </c>
      <c r="M33" s="48" t="n">
        <v>0.23</v>
      </c>
      <c r="N33" s="48" t="n">
        <v>0.065</v>
      </c>
      <c r="O33" s="48" t="n">
        <f aca="false">M33*L33</f>
        <v>0.134385665452747</v>
      </c>
      <c r="P33" s="48" t="n">
        <f aca="false">N33*SQRT(L33*L48)</f>
        <v>0.037978560520321</v>
      </c>
    </row>
    <row r="34" customFormat="false" ht="14.65" hidden="false" customHeight="true" outlineLevel="0" collapsed="false">
      <c r="A34" s="31" t="n">
        <f aca="false">IF(C33&lt;0.05,0.05,IF(C33&gt;0.95,0.95,IF(AND(C33&gt;=0.4995,C33&lt;=0.5005),0.5,10^((3*(C33-0.5)))/(10^((3*(C33-0.5)))+1))))</f>
        <v>0.666139424583122</v>
      </c>
      <c r="B34" s="48" t="n">
        <v>0.63</v>
      </c>
      <c r="C34" s="48" t="n">
        <f aca="false">1/SQRT(1+(2*PI()*B34*A$36/13.8)^2)</f>
        <v>0.963004662951908</v>
      </c>
      <c r="D34" s="48" t="n">
        <f aca="false">10^((D33-93.98)/10)</f>
        <v>0.0399944749761097</v>
      </c>
      <c r="E34" s="48" t="n">
        <f aca="false">10^((E33-93.98)/10)</f>
        <v>3.99944749761097E-005</v>
      </c>
      <c r="F34" s="48" t="n">
        <f aca="false">10^((F33-93.98)/10)</f>
        <v>6.33869711256926E-009</v>
      </c>
      <c r="G34" s="48" t="n">
        <f aca="false">D34+E34</f>
        <v>0.0400344694510858</v>
      </c>
      <c r="H34" s="48" t="n">
        <f aca="false">G19*H18</f>
        <v>0.000419392945035616</v>
      </c>
      <c r="I34" s="1" t="n">
        <f aca="false">C34*D$34/(D$34+E$34+F$34+H$34)</f>
        <v>0.952068790917824</v>
      </c>
      <c r="J34" s="48" t="n">
        <f aca="false">10*LOG10(I34/(1-I34))</f>
        <v>12.980499447291</v>
      </c>
      <c r="K34" s="48" t="n">
        <f aca="false">(IF(J34&lt;-15,-15,IF(J34&gt;15,15,J34))+15)/30</f>
        <v>0.932683314909699</v>
      </c>
      <c r="L34" s="1"/>
    </row>
    <row r="35" customFormat="false" ht="14.65" hidden="false" customHeight="true" outlineLevel="0" collapsed="false">
      <c r="A35" s="24" t="n">
        <f aca="false">(SQRT(1-A34*A34))/A34/1.278</f>
        <v>0.876076937588525</v>
      </c>
      <c r="B35" s="48" t="n">
        <v>0.8</v>
      </c>
      <c r="C35" s="48" t="n">
        <f aca="false">1/SQRT(1+(2*PI()*B35*A$36/13.8)^2)</f>
        <v>0.942276083660808</v>
      </c>
      <c r="I35" s="1" t="n">
        <f aca="false">C35*D$34/(D$34+E$34+F$34+H$34)</f>
        <v>0.931575605181186</v>
      </c>
      <c r="J35" s="48" t="n">
        <f aca="false">10*LOG10(I35/(1-I35))</f>
        <v>11.3400714233456</v>
      </c>
      <c r="K35" s="48" t="n">
        <f aca="false">(IF(J35&lt;-15,-15,IF(J35&gt;15,15,J35))+15)/30</f>
        <v>0.878002380778187</v>
      </c>
      <c r="L35" s="1"/>
    </row>
    <row r="36" customFormat="false" ht="14.65" hidden="false" customHeight="true" outlineLevel="0" collapsed="false">
      <c r="A36" s="24" t="n">
        <f aca="false">A35*A35*A35*0.00414062467-A35*A35*0.04009697581+A35*1.14553203124</f>
        <v>0.975583481699507</v>
      </c>
      <c r="B36" s="48" t="n">
        <v>1</v>
      </c>
      <c r="C36" s="48" t="n">
        <f aca="false">1/SQRT(1+(2*PI()*B36*A$36/13.8)^2)</f>
        <v>0.913899063486714</v>
      </c>
      <c r="I36" s="1" t="n">
        <f aca="false">C36*D$34/(D$34+E$34+F$34+H$34)</f>
        <v>0.903520834185389</v>
      </c>
      <c r="J36" s="48" t="n">
        <f aca="false">10*LOG10(I36/(1-I36))</f>
        <v>9.71504631577235</v>
      </c>
      <c r="K36" s="48" t="n">
        <f aca="false">(IF(J36&lt;-15,-15,IF(J36&gt;15,15,J36))+15)/30</f>
        <v>0.823834877192412</v>
      </c>
      <c r="L36" s="1"/>
    </row>
    <row r="37" customFormat="false" ht="14.65" hidden="false" customHeight="true" outlineLevel="0" collapsed="false">
      <c r="B37" s="48" t="n">
        <v>1.25</v>
      </c>
      <c r="C37" s="48" t="n">
        <f aca="false">1/SQRT(1+(2*PI()*B37*A$36/13.8)^2)</f>
        <v>0.874276985308814</v>
      </c>
      <c r="I37" s="1" t="n">
        <f aca="false">C37*D$34/(D$34+E$34+F$34+H$34)</f>
        <v>0.864348703960337</v>
      </c>
      <c r="J37" s="48" t="n">
        <f aca="false">10*LOG10(I37/(1-I37))</f>
        <v>8.04265037679983</v>
      </c>
      <c r="K37" s="48" t="n">
        <f aca="false">(IF(J37&lt;-15,-15,IF(J37&gt;15,15,J37))+15)/30</f>
        <v>0.768088345893328</v>
      </c>
      <c r="L37" s="1"/>
    </row>
    <row r="38" customFormat="false" ht="14.65" hidden="false" customHeight="true" outlineLevel="0" collapsed="false">
      <c r="B38" s="48" t="n">
        <v>1.6</v>
      </c>
      <c r="C38" s="48" t="n">
        <f aca="false">1/SQRT(1+(2*PI()*B38*A$36/13.8)^2)</f>
        <v>0.815114258975178</v>
      </c>
      <c r="I38" s="1" t="n">
        <f aca="false">C38*D$34/(D$34+E$34+F$34+H$34)</f>
        <v>0.805857828999038</v>
      </c>
      <c r="J38" s="48" t="n">
        <f aca="false">10*LOG10(I38/(1-I38))</f>
        <v>6.18138547661206</v>
      </c>
      <c r="K38" s="48" t="n">
        <f aca="false">(IF(J38&lt;-15,-15,IF(J38&gt;15,15,J38))+15)/30</f>
        <v>0.706046182553735</v>
      </c>
      <c r="L38" s="1"/>
    </row>
    <row r="39" customFormat="false" ht="14.65" hidden="false" customHeight="true" outlineLevel="0" collapsed="false">
      <c r="B39" s="48" t="n">
        <v>2</v>
      </c>
      <c r="C39" s="48" t="n">
        <f aca="false">1/SQRT(1+(2*PI()*B39*A$36/13.8)^2)</f>
        <v>0.747600899489693</v>
      </c>
      <c r="I39" s="1" t="n">
        <f aca="false">C39*D$34/(D$34+E$34+F$34+H$34)</f>
        <v>0.739111150598629</v>
      </c>
      <c r="J39" s="48" t="n">
        <f aca="false">10*LOG10(I39/(1-I39))</f>
        <v>4.52254236908163</v>
      </c>
      <c r="K39" s="48" t="n">
        <f aca="false">(IF(J39&lt;-15,-15,IF(J39&gt;15,15,J39))+15)/30</f>
        <v>0.650751412302721</v>
      </c>
      <c r="L39" s="1"/>
    </row>
    <row r="40" customFormat="false" ht="14.65" hidden="false" customHeight="true" outlineLevel="0" collapsed="false">
      <c r="A40" s="1"/>
      <c r="B40" s="48" t="n">
        <v>2.5</v>
      </c>
      <c r="C40" s="48" t="n">
        <f aca="false">1/SQRT(1+(2*PI()*B40*A$36/13.8)^2)</f>
        <v>0.66917939017818</v>
      </c>
      <c r="D40" s="1"/>
      <c r="E40" s="1"/>
      <c r="I40" s="1" t="n">
        <f aca="false">C40*D$34/(D$34+E$34+F$34+H$34)</f>
        <v>0.661580195220595</v>
      </c>
      <c r="J40" s="48" t="n">
        <f aca="false">10*LOG10(I40/(1-I40))</f>
        <v>2.91126725282395</v>
      </c>
      <c r="K40" s="48" t="n">
        <f aca="false">(IF(J40&lt;-15,-15,IF(J40&gt;15,15,J40))+15)/30</f>
        <v>0.597042241760798</v>
      </c>
      <c r="L40" s="1"/>
    </row>
    <row r="41" customFormat="false" ht="14.65" hidden="false" customHeight="true" outlineLevel="0" collapsed="false">
      <c r="A41" s="1"/>
      <c r="B41" s="48" t="n">
        <v>3.15</v>
      </c>
      <c r="C41" s="48" t="n">
        <f aca="false">1/SQRT(1+(2*PI()*B41*A$36/13.8)^2)</f>
        <v>0.581461748295062</v>
      </c>
      <c r="D41" s="1"/>
      <c r="E41" s="1"/>
      <c r="I41" s="1" t="n">
        <f aca="false">C41*D$34/(D$34+E$34+F$34+H$34)</f>
        <v>0.574858674066347</v>
      </c>
      <c r="J41" s="48" t="n">
        <f aca="false">10*LOG10(I41/(1-I41))</f>
        <v>1.31027766146997</v>
      </c>
      <c r="K41" s="48" t="n">
        <f aca="false">(IF(J41&lt;-15,-15,IF(J41&gt;15,15,J41))+15)/30</f>
        <v>0.543675922048999</v>
      </c>
      <c r="L41" s="1"/>
    </row>
    <row r="42" customFormat="false" ht="14.65" hidden="false" customHeight="true" outlineLevel="0" collapsed="false">
      <c r="B42" s="48" t="n">
        <v>4</v>
      </c>
      <c r="C42" s="48" t="n">
        <f aca="false">1/SQRT(1+(2*PI()*B42*A$36/13.8)^2)</f>
        <v>0.490477581002488</v>
      </c>
      <c r="I42" s="1" t="n">
        <f aca="false">C42*D$34/(D$34+E$34+F$34+H$34)</f>
        <v>0.484907722134943</v>
      </c>
      <c r="J42" s="48" t="n">
        <f aca="false">10*LOG10(I42/(1-I42))</f>
        <v>-0.262259388030126</v>
      </c>
      <c r="K42" s="48" t="n">
        <f aca="false">(IF(J42&lt;-15,-15,IF(J42&gt;15,15,J42))+15)/30</f>
        <v>0.491258020398996</v>
      </c>
      <c r="L42" s="1"/>
    </row>
    <row r="43" customFormat="false" ht="14.65" hidden="false" customHeight="true" outlineLevel="0" collapsed="false">
      <c r="B43" s="48" t="n">
        <v>5</v>
      </c>
      <c r="C43" s="48" t="n">
        <f aca="false">1/SQRT(1+(2*PI()*B43*A$36/13.8)^2)</f>
        <v>0.410562927729329</v>
      </c>
      <c r="I43" s="1" t="n">
        <f aca="false">C43*D$34/(D$34+E$34+F$34+H$34)</f>
        <v>0.405900578924263</v>
      </c>
      <c r="J43" s="48" t="n">
        <f aca="false">10*LOG10(I43/(1-I43))</f>
        <v>-1.65439458436258</v>
      </c>
      <c r="K43" s="48" t="n">
        <f aca="false">(IF(J43&lt;-15,-15,IF(J43&gt;15,15,J43))+15)/30</f>
        <v>0.444853513854581</v>
      </c>
      <c r="L43" s="1"/>
    </row>
    <row r="44" customFormat="false" ht="14.65" hidden="false" customHeight="true" outlineLevel="0" collapsed="false">
      <c r="B44" s="48" t="n">
        <v>6.3</v>
      </c>
      <c r="C44" s="48" t="n">
        <f aca="false">1/SQRT(1+(2*PI()*B44*A$36/13.8)^2)</f>
        <v>0.336509692693801</v>
      </c>
      <c r="I44" s="1" t="n">
        <f aca="false">C44*D$34/(D$34+E$34+F$34+H$34)</f>
        <v>0.332688291739991</v>
      </c>
      <c r="J44" s="48" t="n">
        <f aca="false">10*LOG10(I44/(1-I44))</f>
        <v>-3.02291227730959</v>
      </c>
      <c r="K44" s="48" t="n">
        <f aca="false">(IF(J44&lt;-15,-15,IF(J44&gt;15,15,J44))+15)/30</f>
        <v>0.399236257423014</v>
      </c>
      <c r="L44" s="1"/>
    </row>
    <row r="45" customFormat="false" ht="14.65" hidden="false" customHeight="true" outlineLevel="0" collapsed="false">
      <c r="B45" s="48" t="n">
        <v>8</v>
      </c>
      <c r="C45" s="48" t="n">
        <f aca="false">1/SQRT(1+(2*PI()*B45*A$36/13.8)^2)</f>
        <v>0.270891345602166</v>
      </c>
      <c r="I45" s="1" t="n">
        <f aca="false">C45*D$34/(D$34+E$34+F$34+H$34)</f>
        <v>0.267815105990236</v>
      </c>
      <c r="J45" s="48" t="n">
        <f aca="false">10*LOG10(I45/(1-I45))</f>
        <v>-4.36785694989019</v>
      </c>
      <c r="K45" s="48" t="n">
        <f aca="false">(IF(J45&lt;-15,-15,IF(J45&gt;15,15,J45))+15)/30</f>
        <v>0.354404768336994</v>
      </c>
      <c r="L45" s="1"/>
    </row>
    <row r="46" customFormat="false" ht="14.65" hidden="false" customHeight="true" outlineLevel="0" collapsed="false">
      <c r="B46" s="48" t="n">
        <v>10</v>
      </c>
      <c r="C46" s="48" t="n">
        <f aca="false">1/SQRT(1+(2*PI()*B46*A$36/13.8)^2)</f>
        <v>0.2196335858773</v>
      </c>
      <c r="I46" s="1" t="n">
        <f aca="false">C46*D$34/(D$34+E$34+F$34+H$34)</f>
        <v>0.217139428910107</v>
      </c>
      <c r="J46" s="48" t="n">
        <f aca="false">10*LOG10(I46/(1-I46))</f>
        <v>-5.56945729025227</v>
      </c>
      <c r="K46" s="48" t="n">
        <f aca="false">(IF(J46&lt;-15,-15,IF(J46&gt;15,15,J46))+15)/30</f>
        <v>0.314351423658258</v>
      </c>
      <c r="L46" s="1"/>
    </row>
    <row r="47" customFormat="false" ht="14.65" hidden="false" customHeight="true" outlineLevel="0" collapsed="false">
      <c r="B47" s="48" t="n">
        <v>12.5</v>
      </c>
      <c r="C47" s="48" t="n">
        <f aca="false">1/SQRT(1+(2*PI()*B47*A$36/13.8)^2)</f>
        <v>0.177252695194472</v>
      </c>
      <c r="I47" s="1" t="n">
        <f aca="false">C47*D$34/(D$34+E$34+F$34+H$34)</f>
        <v>0.175239815229383</v>
      </c>
      <c r="J47" s="48" t="n">
        <f aca="false">10*LOG10(I47/(1-I47))</f>
        <v>-6.72694900659635</v>
      </c>
      <c r="K47" s="48" t="n">
        <f aca="false">(IF(J47&lt;-15,-15,IF(J47&gt;15,15,J47))+15)/30</f>
        <v>0.275768366446788</v>
      </c>
      <c r="L47" s="1"/>
    </row>
    <row r="48" customFormat="false" ht="14.65" hidden="false" customHeight="true" outlineLevel="0" collapsed="false">
      <c r="A48" s="50" t="s">
        <v>17</v>
      </c>
      <c r="B48" s="50"/>
      <c r="C48" s="51" t="n">
        <f aca="false">Main!E33</f>
        <v>0.6</v>
      </c>
      <c r="D48" s="52" t="n">
        <f aca="false">Main!E15</f>
        <v>80</v>
      </c>
      <c r="E48" s="52" t="n">
        <f aca="false">Main!E26</f>
        <v>50</v>
      </c>
      <c r="F48" s="48" t="n">
        <v>6.5</v>
      </c>
      <c r="G48" s="53" t="n">
        <f aca="false">10*LOG10(G49/(4*10^(-10)))</f>
        <v>80.0037408615136</v>
      </c>
      <c r="H48" s="48" t="n">
        <f aca="false">IF(G48&lt;=63,(POWER(10,((0.5*G48-65)/10))),IF(G48&lt;=67,(POWER(10,((1.8*G48-146.9)/10))),IF(G48&lt;=100,(POWER(10,((0.5*G48-59.8)/10))),0.1)))</f>
        <v>0.0104757962522279</v>
      </c>
      <c r="L48" s="54" t="n">
        <f aca="false">AVERAGE(K49:K62)</f>
        <v>0.584285590964492</v>
      </c>
      <c r="M48" s="48" t="n">
        <v>0.233</v>
      </c>
      <c r="N48" s="48" t="n">
        <v>0.011</v>
      </c>
      <c r="O48" s="48" t="n">
        <f aca="false">M48*L48</f>
        <v>0.136138542694727</v>
      </c>
      <c r="P48" s="48" t="n">
        <f aca="false">N48*SQRT(L48*L63)</f>
        <v>0.00642714145087167</v>
      </c>
    </row>
    <row r="49" customFormat="false" ht="14.65" hidden="false" customHeight="true" outlineLevel="0" collapsed="false">
      <c r="A49" s="31" t="n">
        <f aca="false">IF(C48&lt;0.05,0.05,IF(C48&gt;0.95,0.95,IF(AND(C48&gt;=0.4995,C48&lt;=0.5005),0.5,10^((3*(C48-0.5)))/(10^((3*(C48-0.5)))+1))))</f>
        <v>0.666139424583122</v>
      </c>
      <c r="B49" s="48" t="n">
        <v>0.63</v>
      </c>
      <c r="C49" s="48" t="n">
        <f aca="false">1/SQRT(1+(2*PI()*B49*A$51/13.8)^2)</f>
        <v>0.963004662951908</v>
      </c>
      <c r="D49" s="48" t="n">
        <f aca="false">10^((D48-93.98)/10)</f>
        <v>0.0399944749761097</v>
      </c>
      <c r="E49" s="48" t="n">
        <f aca="false">10^((E48-93.98)/10)</f>
        <v>3.99944749761097E-005</v>
      </c>
      <c r="F49" s="48" t="n">
        <f aca="false">10^((F48-93.98)/10)</f>
        <v>1.78648757485205E-009</v>
      </c>
      <c r="G49" s="48" t="n">
        <f aca="false">D49+E49</f>
        <v>0.0400344694510858</v>
      </c>
      <c r="H49" s="48" t="n">
        <f aca="false">G34*H33</f>
        <v>0.000419392945035616</v>
      </c>
      <c r="I49" s="1" t="n">
        <f aca="false">C49*D$49/(D$49+E$49+F$49+H$49)</f>
        <v>0.952068898052624</v>
      </c>
      <c r="J49" s="48" t="n">
        <f aca="false">10*LOG10(I49/(1-I49))</f>
        <v>12.9805096432627</v>
      </c>
      <c r="K49" s="48" t="n">
        <f aca="false">(IF(J49&lt;-15,-15,IF(J49&gt;15,15,J49))+15)/30</f>
        <v>0.932683654775422</v>
      </c>
      <c r="L49" s="1"/>
    </row>
    <row r="50" customFormat="false" ht="14.65" hidden="false" customHeight="true" outlineLevel="0" collapsed="false">
      <c r="A50" s="24" t="n">
        <f aca="false">(SQRT(1-A49*A49))/A49/1.278</f>
        <v>0.876076937588525</v>
      </c>
      <c r="B50" s="48" t="n">
        <v>0.8</v>
      </c>
      <c r="C50" s="48" t="n">
        <f aca="false">1/SQRT(1+(2*PI()*B50*A$51/13.8)^2)</f>
        <v>0.942276083660808</v>
      </c>
      <c r="I50" s="1" t="n">
        <f aca="false">C50*D$49/(D$49+E$49+F$49+H$49)</f>
        <v>0.93157571000992</v>
      </c>
      <c r="J50" s="48" t="n">
        <f aca="false">10*LOG10(I50/(1-I50))</f>
        <v>11.3400785656094</v>
      </c>
      <c r="K50" s="48" t="n">
        <f aca="false">(IF(J50&lt;-15,-15,IF(J50&gt;15,15,J50))+15)/30</f>
        <v>0.878002618853648</v>
      </c>
      <c r="L50" s="1"/>
    </row>
    <row r="51" customFormat="false" ht="14.65" hidden="false" customHeight="true" outlineLevel="0" collapsed="false">
      <c r="A51" s="24" t="n">
        <f aca="false">A50*A50*A50*0.00414062467-A50*A50*0.04009697581+A50*1.14553203124</f>
        <v>0.975583481699507</v>
      </c>
      <c r="B51" s="48" t="n">
        <v>1</v>
      </c>
      <c r="C51" s="48" t="n">
        <f aca="false">1/SQRT(1+(2*PI()*B51*A$51/13.8)^2)</f>
        <v>0.913899063486714</v>
      </c>
      <c r="I51" s="1" t="n">
        <f aca="false">C51*D$49/(D$49+E$49+F$49+H$49)</f>
        <v>0.903520935857164</v>
      </c>
      <c r="J51" s="48" t="n">
        <f aca="false">10*LOG10(I51/(1-I51))</f>
        <v>9.7150513811661</v>
      </c>
      <c r="K51" s="48" t="n">
        <f aca="false">(IF(J51&lt;-15,-15,IF(J51&gt;15,15,J51))+15)/30</f>
        <v>0.82383504603887</v>
      </c>
      <c r="L51" s="1"/>
    </row>
    <row r="52" customFormat="false" ht="14.65" hidden="false" customHeight="true" outlineLevel="0" collapsed="false">
      <c r="B52" s="48" t="n">
        <v>1.25</v>
      </c>
      <c r="C52" s="48" t="n">
        <f aca="false">1/SQRT(1+(2*PI()*B52*A$51/13.8)^2)</f>
        <v>0.874276985308814</v>
      </c>
      <c r="I52" s="1" t="n">
        <f aca="false">C52*D$49/(D$49+E$49+F$49+H$49)</f>
        <v>0.864348801224133</v>
      </c>
      <c r="J52" s="48" t="n">
        <f aca="false">10*LOG10(I52/(1-I52))</f>
        <v>8.04265397945525</v>
      </c>
      <c r="K52" s="48" t="n">
        <f aca="false">(IF(J52&lt;-15,-15,IF(J52&gt;15,15,J52))+15)/30</f>
        <v>0.768088465981842</v>
      </c>
      <c r="L52" s="1"/>
    </row>
    <row r="53" customFormat="false" ht="14.65" hidden="false" customHeight="true" outlineLevel="0" collapsed="false">
      <c r="B53" s="48" t="n">
        <v>1.6</v>
      </c>
      <c r="C53" s="48" t="n">
        <f aca="false">1/SQRT(1+(2*PI()*B53*A$51/13.8)^2)</f>
        <v>0.815114258975178</v>
      </c>
      <c r="I53" s="1" t="n">
        <f aca="false">C53*D$49/(D$49+E$49+F$49+H$49)</f>
        <v>0.805857919680949</v>
      </c>
      <c r="J53" s="48" t="n">
        <f aca="false">10*LOG10(I53/(1-I53))</f>
        <v>6.18138799386432</v>
      </c>
      <c r="K53" s="48" t="n">
        <f aca="false">(IF(J53&lt;-15,-15,IF(J53&gt;15,15,J53))+15)/30</f>
        <v>0.706046266462144</v>
      </c>
      <c r="L53" s="1"/>
    </row>
    <row r="54" customFormat="false" ht="14.65" hidden="false" customHeight="true" outlineLevel="0" collapsed="false">
      <c r="B54" s="48" t="n">
        <v>2</v>
      </c>
      <c r="C54" s="48" t="n">
        <f aca="false">1/SQRT(1+(2*PI()*B54*A$51/13.8)^2)</f>
        <v>0.747600899489693</v>
      </c>
      <c r="I54" s="1" t="n">
        <f aca="false">C54*D$49/(D$49+E$49+F$49+H$49)</f>
        <v>0.739111233769641</v>
      </c>
      <c r="J54" s="48" t="n">
        <f aca="false">10*LOG10(I54/(1-I54))</f>
        <v>4.52254424231148</v>
      </c>
      <c r="K54" s="48" t="n">
        <f aca="false">(IF(J54&lt;-15,-15,IF(J54&gt;15,15,J54))+15)/30</f>
        <v>0.650751474743716</v>
      </c>
      <c r="L54" s="1"/>
    </row>
    <row r="55" customFormat="false" ht="14.65" hidden="false" customHeight="true" outlineLevel="0" collapsed="false">
      <c r="A55" s="1"/>
      <c r="B55" s="48" t="n">
        <v>2.5</v>
      </c>
      <c r="C55" s="48" t="n">
        <f aca="false">1/SQRT(1+(2*PI()*B55*A$51/13.8)^2)</f>
        <v>0.66917939017818</v>
      </c>
      <c r="D55" s="1"/>
      <c r="E55" s="1"/>
      <c r="I55" s="1" t="n">
        <f aca="false">C55*D$49/(D$49+E$49+F$49+H$49)</f>
        <v>0.661580269667171</v>
      </c>
      <c r="J55" s="48" t="n">
        <f aca="false">10*LOG10(I55/(1-I55))</f>
        <v>2.91126869690243</v>
      </c>
      <c r="K55" s="48" t="n">
        <f aca="false">(IF(J55&lt;-15,-15,IF(J55&gt;15,15,J55))+15)/30</f>
        <v>0.597042289896748</v>
      </c>
      <c r="L55" s="1"/>
    </row>
    <row r="56" customFormat="false" ht="14.65" hidden="false" customHeight="true" outlineLevel="0" collapsed="false">
      <c r="A56" s="1"/>
      <c r="B56" s="48" t="n">
        <v>3.15</v>
      </c>
      <c r="C56" s="48" t="n">
        <f aca="false">1/SQRT(1+(2*PI()*B56*A$51/13.8)^2)</f>
        <v>0.581461748295062</v>
      </c>
      <c r="D56" s="1"/>
      <c r="E56" s="1"/>
      <c r="I56" s="1" t="n">
        <f aca="false">C56*D$49/(D$49+E$49+F$49+H$49)</f>
        <v>0.574858738754287</v>
      </c>
      <c r="J56" s="48" t="n">
        <f aca="false">10*LOG10(I56/(1-I56))</f>
        <v>1.31027881098123</v>
      </c>
      <c r="K56" s="48" t="n">
        <f aca="false">(IF(J56&lt;-15,-15,IF(J56&gt;15,15,J56))+15)/30</f>
        <v>0.543675960366041</v>
      </c>
      <c r="L56" s="1"/>
    </row>
    <row r="57" customFormat="false" ht="14.65" hidden="false" customHeight="true" outlineLevel="0" collapsed="false">
      <c r="B57" s="48" t="n">
        <v>4</v>
      </c>
      <c r="C57" s="48" t="n">
        <f aca="false">1/SQRT(1+(2*PI()*B57*A$51/13.8)^2)</f>
        <v>0.490477581002488</v>
      </c>
      <c r="I57" s="1" t="n">
        <f aca="false">C57*D$49/(D$49+E$49+F$49+H$49)</f>
        <v>0.484907776700844</v>
      </c>
      <c r="J57" s="48" t="n">
        <f aca="false">10*LOG10(I57/(1-I57))</f>
        <v>-0.262258439258908</v>
      </c>
      <c r="K57" s="48" t="n">
        <f aca="false">(IF(J57&lt;-15,-15,IF(J57&gt;15,15,J57))+15)/30</f>
        <v>0.491258052024703</v>
      </c>
      <c r="L57" s="1"/>
    </row>
    <row r="58" customFormat="false" ht="14.65" hidden="false" customHeight="true" outlineLevel="0" collapsed="false">
      <c r="B58" s="48" t="n">
        <v>5</v>
      </c>
      <c r="C58" s="48" t="n">
        <f aca="false">1/SQRT(1+(2*PI()*B58*A$51/13.8)^2)</f>
        <v>0.410562927729329</v>
      </c>
      <c r="I58" s="1" t="n">
        <f aca="false">C58*D$49/(D$49+E$49+F$49+H$49)</f>
        <v>0.405900624599615</v>
      </c>
      <c r="J58" s="48" t="n">
        <f aca="false">10*LOG10(I58/(1-I58))</f>
        <v>-1.65439376176504</v>
      </c>
      <c r="K58" s="48" t="n">
        <f aca="false">(IF(J58&lt;-15,-15,IF(J58&gt;15,15,J58))+15)/30</f>
        <v>0.444853541274499</v>
      </c>
      <c r="L58" s="1"/>
    </row>
    <row r="59" customFormat="false" ht="14.65" hidden="false" customHeight="true" outlineLevel="0" collapsed="false">
      <c r="B59" s="48" t="n">
        <v>6.3</v>
      </c>
      <c r="C59" s="48" t="n">
        <f aca="false">1/SQRT(1+(2*PI()*B59*A$51/13.8)^2)</f>
        <v>0.336509692693801</v>
      </c>
      <c r="I59" s="1" t="n">
        <f aca="false">C59*D$49/(D$49+E$49+F$49+H$49)</f>
        <v>0.332688329176879</v>
      </c>
      <c r="J59" s="48" t="n">
        <f aca="false">10*LOG10(I59/(1-I59))</f>
        <v>-3.02291154496112</v>
      </c>
      <c r="K59" s="48" t="n">
        <f aca="false">(IF(J59&lt;-15,-15,IF(J59&gt;15,15,J59))+15)/30</f>
        <v>0.399236281834629</v>
      </c>
      <c r="L59" s="1"/>
    </row>
    <row r="60" customFormat="false" ht="14.65" hidden="false" customHeight="true" outlineLevel="0" collapsed="false">
      <c r="B60" s="48" t="n">
        <v>8</v>
      </c>
      <c r="C60" s="48" t="n">
        <f aca="false">1/SQRT(1+(2*PI()*B60*A$51/13.8)^2)</f>
        <v>0.270891345602166</v>
      </c>
      <c r="I60" s="1" t="n">
        <f aca="false">C60*D$49/(D$49+E$49+F$49+H$49)</f>
        <v>0.267815136127048</v>
      </c>
      <c r="J60" s="48" t="n">
        <f aca="false">10*LOG10(I60/(1-I60))</f>
        <v>-4.36785628242939</v>
      </c>
      <c r="K60" s="48" t="n">
        <f aca="false">(IF(J60&lt;-15,-15,IF(J60&gt;15,15,J60))+15)/30</f>
        <v>0.354404790585687</v>
      </c>
      <c r="L60" s="1"/>
    </row>
    <row r="61" customFormat="false" ht="14.65" hidden="false" customHeight="true" outlineLevel="0" collapsed="false">
      <c r="B61" s="48" t="n">
        <v>10</v>
      </c>
      <c r="C61" s="48" t="n">
        <f aca="false">1/SQRT(1+(2*PI()*B61*A$51/13.8)^2)</f>
        <v>0.2196335858773</v>
      </c>
      <c r="I61" s="1" t="n">
        <f aca="false">C61*D$49/(D$49+E$49+F$49+H$49)</f>
        <v>0.217139453344464</v>
      </c>
      <c r="J61" s="48" t="n">
        <f aca="false">10*LOG10(I61/(1-I61))</f>
        <v>-5.56945666599717</v>
      </c>
      <c r="K61" s="48" t="n">
        <f aca="false">(IF(J61&lt;-15,-15,IF(J61&gt;15,15,J61))+15)/30</f>
        <v>0.314351444466761</v>
      </c>
      <c r="L61" s="1"/>
    </row>
    <row r="62" customFormat="false" ht="14.65" hidden="false" customHeight="true" outlineLevel="0" collapsed="false">
      <c r="B62" s="48" t="n">
        <v>12.5</v>
      </c>
      <c r="C62" s="48" t="n">
        <f aca="false">1/SQRT(1+(2*PI()*B62*A$51/13.8)^2)</f>
        <v>0.177252695194472</v>
      </c>
      <c r="I62" s="1" t="n">
        <f aca="false">C62*D$49/(D$49+E$49+F$49+H$49)</f>
        <v>0.175239834948843</v>
      </c>
      <c r="J62" s="48" t="n">
        <f aca="false">10*LOG10(I62/(1-I62))</f>
        <v>-6.72694841405476</v>
      </c>
      <c r="K62" s="48" t="n">
        <f aca="false">(IF(J62&lt;-15,-15,IF(J62&gt;15,15,J62))+15)/30</f>
        <v>0.275768386198175</v>
      </c>
      <c r="L62" s="1"/>
    </row>
    <row r="63" customFormat="false" ht="14.65" hidden="false" customHeight="true" outlineLevel="0" collapsed="false">
      <c r="A63" s="50" t="s">
        <v>71</v>
      </c>
      <c r="B63" s="55"/>
      <c r="C63" s="51" t="n">
        <f aca="false">Main!F33</f>
        <v>0.6</v>
      </c>
      <c r="D63" s="52" t="n">
        <f aca="false">Main!F15</f>
        <v>80</v>
      </c>
      <c r="E63" s="52" t="n">
        <f aca="false">Main!F26</f>
        <v>50</v>
      </c>
      <c r="F63" s="48" t="n">
        <v>7.5</v>
      </c>
      <c r="G63" s="53" t="n">
        <f aca="false">10*LOG10(G64/(4*10^(-10)))</f>
        <v>80.0037408615136</v>
      </c>
      <c r="H63" s="48" t="n">
        <f aca="false">IF(G63&lt;=63,(POWER(10,((0.5*G63-65)/10))),IF(G63&lt;=67,(POWER(10,((1.8*G63-146.9)/10))),IF(G63&lt;=100,(POWER(10,((0.5*G63-59.8)/10))),0.1)))</f>
        <v>0.0104757962522279</v>
      </c>
      <c r="L63" s="54" t="n">
        <f aca="false">AVERAGE(K64:K77)</f>
        <v>0.584285581921267</v>
      </c>
      <c r="M63" s="48" t="n">
        <v>0.309</v>
      </c>
      <c r="N63" s="48" t="n">
        <v>0.047</v>
      </c>
      <c r="O63" s="48" t="n">
        <f aca="false">M63*L63</f>
        <v>0.180544244813672</v>
      </c>
      <c r="P63" s="48" t="n">
        <f aca="false">N63*SQRT(L63*L78)</f>
        <v>0.0274614222242208</v>
      </c>
    </row>
    <row r="64" customFormat="false" ht="14.65" hidden="false" customHeight="true" outlineLevel="0" collapsed="false">
      <c r="A64" s="31" t="n">
        <f aca="false">IF(C63&lt;0.05,0.05,IF(C63&gt;0.95,0.95,IF(AND(C63&gt;=0.4995,C63&lt;=0.5005),0.5,10^((3*(C63-0.5)))/(10^((3*(C63-0.5)))+1))))</f>
        <v>0.666139424583122</v>
      </c>
      <c r="B64" s="48" t="n">
        <v>0.63</v>
      </c>
      <c r="C64" s="48" t="n">
        <f aca="false">1/SQRT(1+(2*PI()*B64*A$66/13.8)^2)</f>
        <v>0.963004662951908</v>
      </c>
      <c r="D64" s="48" t="n">
        <f aca="false">10^((D63-93.98)/10)</f>
        <v>0.0399944749761097</v>
      </c>
      <c r="E64" s="48" t="n">
        <f aca="false">10^((E63-93.98)/10)</f>
        <v>3.99944749761097E-005</v>
      </c>
      <c r="F64" s="48" t="n">
        <f aca="false">10^((F63-93.98)/10)</f>
        <v>2.24905460583578E-009</v>
      </c>
      <c r="G64" s="48" t="n">
        <f aca="false">D64+E64</f>
        <v>0.0400344694510858</v>
      </c>
      <c r="H64" s="48" t="n">
        <f aca="false">G49*H48</f>
        <v>0.000419392945035616</v>
      </c>
      <c r="I64" s="1" t="n">
        <f aca="false">C64*D$64/(D$64+E$64+F$64+H$64)</f>
        <v>0.952068887166255</v>
      </c>
      <c r="J64" s="48" t="n">
        <f aca="false">10*LOG10(I64/(1-I64))</f>
        <v>12.9805086072107</v>
      </c>
      <c r="K64" s="48" t="n">
        <f aca="false">(IF(J64&lt;-15,-15,IF(J64&gt;15,15,J64))+15)/30</f>
        <v>0.932683620240358</v>
      </c>
      <c r="L64" s="1"/>
    </row>
    <row r="65" customFormat="false" ht="14.65" hidden="false" customHeight="true" outlineLevel="0" collapsed="false">
      <c r="A65" s="24" t="n">
        <f aca="false">(SQRT(1-A64*A64))/A64/1.278</f>
        <v>0.876076937588525</v>
      </c>
      <c r="B65" s="48" t="n">
        <v>0.8</v>
      </c>
      <c r="C65" s="48" t="n">
        <f aca="false">1/SQRT(1+(2*PI()*B65*A$66/13.8)^2)</f>
        <v>0.942276083660808</v>
      </c>
      <c r="I65" s="1" t="n">
        <f aca="false">C65*D$64/(D$64+E$64+F$64+H$64)</f>
        <v>0.931575699357879</v>
      </c>
      <c r="J65" s="48" t="n">
        <f aca="false">10*LOG10(I65/(1-I65))</f>
        <v>11.3400778398568</v>
      </c>
      <c r="K65" s="48" t="n">
        <f aca="false">(IF(J65&lt;-15,-15,IF(J65&gt;15,15,J65))+15)/30</f>
        <v>0.878002594661892</v>
      </c>
      <c r="L65" s="1"/>
    </row>
    <row r="66" customFormat="false" ht="14.65" hidden="false" customHeight="true" outlineLevel="0" collapsed="false">
      <c r="A66" s="24" t="n">
        <f aca="false">A65*A65*A65*0.00414062467-A65*A65*0.04009697581+A65*1.14553203124</f>
        <v>0.975583481699507</v>
      </c>
      <c r="B66" s="48" t="n">
        <v>1</v>
      </c>
      <c r="C66" s="48" t="n">
        <f aca="false">1/SQRT(1+(2*PI()*B66*A$66/13.8)^2)</f>
        <v>0.913899063486714</v>
      </c>
      <c r="I66" s="1" t="n">
        <f aca="false">C66*D$64/(D$64+E$64+F$64+H$64)</f>
        <v>0.903520925525913</v>
      </c>
      <c r="J66" s="48" t="n">
        <f aca="false">10*LOG10(I66/(1-I66))</f>
        <v>9.7150508664522</v>
      </c>
      <c r="K66" s="48" t="n">
        <f aca="false">(IF(J66&lt;-15,-15,IF(J66&gt;15,15,J66))+15)/30</f>
        <v>0.82383502888174</v>
      </c>
      <c r="L66" s="1"/>
    </row>
    <row r="67" customFormat="false" ht="14.65" hidden="false" customHeight="true" outlineLevel="0" collapsed="false">
      <c r="B67" s="48" t="n">
        <v>1.25</v>
      </c>
      <c r="C67" s="48" t="n">
        <f aca="false">1/SQRT(1+(2*PI()*B67*A$66/13.8)^2)</f>
        <v>0.874276985308814</v>
      </c>
      <c r="I67" s="1" t="n">
        <f aca="false">C67*D$64/(D$64+E$64+F$64+H$64)</f>
        <v>0.864348791340794</v>
      </c>
      <c r="J67" s="48" t="n">
        <f aca="false">10*LOG10(I67/(1-I67))</f>
        <v>8.04265361337582</v>
      </c>
      <c r="K67" s="48" t="n">
        <f aca="false">(IF(J67&lt;-15,-15,IF(J67&gt;15,15,J67))+15)/30</f>
        <v>0.768088453779194</v>
      </c>
      <c r="L67" s="1"/>
    </row>
    <row r="68" customFormat="false" ht="14.65" hidden="false" customHeight="true" outlineLevel="0" collapsed="false">
      <c r="B68" s="48" t="n">
        <v>1.6</v>
      </c>
      <c r="C68" s="48" t="n">
        <f aca="false">1/SQRT(1+(2*PI()*B68*A$66/13.8)^2)</f>
        <v>0.815114258975178</v>
      </c>
      <c r="I68" s="1" t="n">
        <f aca="false">C68*D$64/(D$64+E$64+F$64+H$64)</f>
        <v>0.80585791046642</v>
      </c>
      <c r="J68" s="48" t="n">
        <f aca="false">10*LOG10(I68/(1-I68))</f>
        <v>6.18138773807684</v>
      </c>
      <c r="K68" s="48" t="n">
        <f aca="false">(IF(J68&lt;-15,-15,IF(J68&gt;15,15,J68))+15)/30</f>
        <v>0.706046257935895</v>
      </c>
      <c r="L68" s="1"/>
    </row>
    <row r="69" customFormat="false" ht="14.65" hidden="false" customHeight="true" outlineLevel="0" collapsed="false">
      <c r="B69" s="48" t="n">
        <v>2</v>
      </c>
      <c r="C69" s="48" t="n">
        <f aca="false">1/SQRT(1+(2*PI()*B69*A$66/13.8)^2)</f>
        <v>0.747600899489693</v>
      </c>
      <c r="I69" s="1" t="n">
        <f aca="false">C69*D$64/(D$64+E$64+F$64+H$64)</f>
        <v>0.739111225318322</v>
      </c>
      <c r="J69" s="48" t="n">
        <f aca="false">10*LOG10(I69/(1-I69))</f>
        <v>4.52254405196554</v>
      </c>
      <c r="K69" s="48" t="n">
        <f aca="false">(IF(J69&lt;-15,-15,IF(J69&gt;15,15,J69))+15)/30</f>
        <v>0.650751468398852</v>
      </c>
      <c r="L69" s="1"/>
    </row>
    <row r="70" customFormat="false" ht="14.65" hidden="false" customHeight="true" outlineLevel="0" collapsed="false">
      <c r="A70" s="1"/>
      <c r="B70" s="48" t="n">
        <v>2.5</v>
      </c>
      <c r="C70" s="48" t="n">
        <f aca="false">1/SQRT(1+(2*PI()*B70*A$66/13.8)^2)</f>
        <v>0.66917939017818</v>
      </c>
      <c r="D70" s="1"/>
      <c r="E70" s="1"/>
      <c r="I70" s="1" t="n">
        <f aca="false">C70*D$64/(D$64+E$64+F$64+H$64)</f>
        <v>0.661580262102375</v>
      </c>
      <c r="J70" s="48" t="n">
        <f aca="false">10*LOG10(I70/(1-I70))</f>
        <v>2.91126855016419</v>
      </c>
      <c r="K70" s="48" t="n">
        <f aca="false">(IF(J70&lt;-15,-15,IF(J70&gt;15,15,J70))+15)/30</f>
        <v>0.597042285005473</v>
      </c>
      <c r="L70" s="1"/>
    </row>
    <row r="71" customFormat="false" ht="14.65" hidden="false" customHeight="true" outlineLevel="0" collapsed="false">
      <c r="A71" s="1"/>
      <c r="B71" s="48" t="n">
        <v>3.15</v>
      </c>
      <c r="C71" s="48" t="n">
        <f aca="false">1/SQRT(1+(2*PI()*B71*A$66/13.8)^2)</f>
        <v>0.581461748295062</v>
      </c>
      <c r="D71" s="1"/>
      <c r="E71" s="1"/>
      <c r="I71" s="1" t="n">
        <f aca="false">C71*D$64/(D$64+E$64+F$64+H$64)</f>
        <v>0.574858732181103</v>
      </c>
      <c r="J71" s="48" t="n">
        <f aca="false">10*LOG10(I71/(1-I71))</f>
        <v>1.31027869417508</v>
      </c>
      <c r="K71" s="48" t="n">
        <f aca="false">(IF(J71&lt;-15,-15,IF(J71&gt;15,15,J71))+15)/30</f>
        <v>0.543675956472503</v>
      </c>
      <c r="L71" s="1"/>
    </row>
    <row r="72" customFormat="false" ht="14.65" hidden="false" customHeight="true" outlineLevel="0" collapsed="false">
      <c r="B72" s="48" t="n">
        <v>4</v>
      </c>
      <c r="C72" s="48" t="n">
        <f aca="false">1/SQRT(1+(2*PI()*B72*A$66/13.8)^2)</f>
        <v>0.490477581002488</v>
      </c>
      <c r="I72" s="1" t="n">
        <f aca="false">C72*D$64/(D$64+E$64+F$64+H$64)</f>
        <v>0.484907771156198</v>
      </c>
      <c r="J72" s="48" t="n">
        <f aca="false">10*LOG10(I72/(1-I72))</f>
        <v>-0.262258535667113</v>
      </c>
      <c r="K72" s="48" t="n">
        <f aca="false">(IF(J72&lt;-15,-15,IF(J72&gt;15,15,J72))+15)/30</f>
        <v>0.491258048811096</v>
      </c>
      <c r="L72" s="1"/>
    </row>
    <row r="73" customFormat="false" ht="14.65" hidden="false" customHeight="true" outlineLevel="0" collapsed="false">
      <c r="B73" s="48" t="n">
        <v>5</v>
      </c>
      <c r="C73" s="48" t="n">
        <f aca="false">1/SQRT(1+(2*PI()*B73*A$66/13.8)^2)</f>
        <v>0.410562927729329</v>
      </c>
      <c r="I73" s="1" t="n">
        <f aca="false">C73*D$64/(D$64+E$64+F$64+H$64)</f>
        <v>0.405900619958371</v>
      </c>
      <c r="J73" s="48" t="n">
        <f aca="false">10*LOG10(I73/(1-I73))</f>
        <v>-1.65439384535226</v>
      </c>
      <c r="K73" s="48" t="n">
        <f aca="false">(IF(J73&lt;-15,-15,IF(J73&gt;15,15,J73))+15)/30</f>
        <v>0.444853538488258</v>
      </c>
      <c r="L73" s="1"/>
    </row>
    <row r="74" customFormat="false" ht="14.65" hidden="false" customHeight="true" outlineLevel="0" collapsed="false">
      <c r="B74" s="48" t="n">
        <v>6.3</v>
      </c>
      <c r="C74" s="48" t="n">
        <f aca="false">1/SQRT(1+(2*PI()*B74*A$66/13.8)^2)</f>
        <v>0.336509692693801</v>
      </c>
      <c r="I74" s="1" t="n">
        <f aca="false">C74*D$64/(D$64+E$64+F$64+H$64)</f>
        <v>0.332688325372777</v>
      </c>
      <c r="J74" s="48" t="n">
        <f aca="false">10*LOG10(I74/(1-I74))</f>
        <v>-3.02291161937778</v>
      </c>
      <c r="K74" s="48" t="n">
        <f aca="false">(IF(J74&lt;-15,-15,IF(J74&gt;15,15,J74))+15)/30</f>
        <v>0.399236279354074</v>
      </c>
      <c r="L74" s="1"/>
    </row>
    <row r="75" customFormat="false" ht="14.65" hidden="false" customHeight="true" outlineLevel="0" collapsed="false">
      <c r="B75" s="48" t="n">
        <v>8</v>
      </c>
      <c r="C75" s="48" t="n">
        <f aca="false">1/SQRT(1+(2*PI()*B75*A$66/13.8)^2)</f>
        <v>0.270891345602166</v>
      </c>
      <c r="I75" s="1" t="n">
        <f aca="false">C75*D$64/(D$64+E$64+F$64+H$64)</f>
        <v>0.267815133064733</v>
      </c>
      <c r="J75" s="48" t="n">
        <f aca="false">10*LOG10(I75/(1-I75))</f>
        <v>-4.36785635025259</v>
      </c>
      <c r="K75" s="48" t="n">
        <f aca="false">(IF(J75&lt;-15,-15,IF(J75&gt;15,15,J75))+15)/30</f>
        <v>0.354404788324914</v>
      </c>
      <c r="L75" s="1"/>
    </row>
    <row r="76" customFormat="false" ht="14.65" hidden="false" customHeight="true" outlineLevel="0" collapsed="false">
      <c r="B76" s="48" t="n">
        <v>10</v>
      </c>
      <c r="C76" s="48" t="n">
        <f aca="false">1/SQRT(1+(2*PI()*B76*A$66/13.8)^2)</f>
        <v>0.2196335858773</v>
      </c>
      <c r="I76" s="1" t="n">
        <f aca="false">C76*D$64/(D$64+E$64+F$64+H$64)</f>
        <v>0.217139450861597</v>
      </c>
      <c r="J76" s="48" t="n">
        <f aca="false">10*LOG10(I76/(1-I76))</f>
        <v>-5.56945672943007</v>
      </c>
      <c r="K76" s="48" t="n">
        <f aca="false">(IF(J76&lt;-15,-15,IF(J76&gt;15,15,J76))+15)/30</f>
        <v>0.314351442352331</v>
      </c>
      <c r="L76" s="1"/>
    </row>
    <row r="77" customFormat="false" ht="14.65" hidden="false" customHeight="true" outlineLevel="0" collapsed="false">
      <c r="B77" s="48" t="n">
        <v>12.5</v>
      </c>
      <c r="C77" s="48" t="n">
        <f aca="false">1/SQRT(1+(2*PI()*B77*A$66/13.8)^2)</f>
        <v>0.177252695194472</v>
      </c>
      <c r="I77" s="1" t="n">
        <f aca="false">C77*D$64/(D$64+E$64+F$64+H$64)</f>
        <v>0.175239832945075</v>
      </c>
      <c r="J77" s="48" t="n">
        <f aca="false">10*LOG10(I77/(1-I77))</f>
        <v>-6.72694847426512</v>
      </c>
      <c r="K77" s="48" t="n">
        <f aca="false">(IF(J77&lt;-15,-15,IF(J77&gt;15,15,J77))+15)/30</f>
        <v>0.275768384191163</v>
      </c>
      <c r="L77" s="1"/>
    </row>
    <row r="78" customFormat="false" ht="14.65" hidden="false" customHeight="true" outlineLevel="0" collapsed="false">
      <c r="A78" s="50" t="s">
        <v>19</v>
      </c>
      <c r="B78" s="55"/>
      <c r="C78" s="51" t="n">
        <f aca="false">Main!G33</f>
        <v>0.6</v>
      </c>
      <c r="D78" s="52" t="n">
        <f aca="false">Main!G15</f>
        <v>80</v>
      </c>
      <c r="E78" s="52" t="n">
        <f aca="false">Main!G26</f>
        <v>50</v>
      </c>
      <c r="F78" s="48" t="n">
        <v>8</v>
      </c>
      <c r="G78" s="53" t="n">
        <f aca="false">10*LOG10(G79/(4*10^(-10)))</f>
        <v>80.0037408615136</v>
      </c>
      <c r="H78" s="48" t="n">
        <f aca="false">IF(G78&lt;=63,(POWER(10,((0.5*G78-65)/10))),IF(G78&lt;=67,(POWER(10,((1.8*G78-146.9)/10))),IF(G78&lt;=100,(POWER(10,((0.5*G78-59.8)/10))),0.1)))</f>
        <v>0.0104757962522279</v>
      </c>
      <c r="L78" s="54" t="n">
        <f aca="false">AVERAGE(K79:K92)</f>
        <v>0.584285576556213</v>
      </c>
      <c r="M78" s="48" t="n">
        <v>0.224</v>
      </c>
      <c r="N78" s="48" t="n">
        <v>0.095</v>
      </c>
      <c r="O78" s="48" t="n">
        <f aca="false">M78*L78</f>
        <v>0.130879969148592</v>
      </c>
      <c r="P78" s="48" t="n">
        <f aca="false">N78*SQRT(L78*L93)</f>
        <v>0.0555071262299221</v>
      </c>
    </row>
    <row r="79" customFormat="false" ht="14.65" hidden="false" customHeight="true" outlineLevel="0" collapsed="false">
      <c r="A79" s="31" t="n">
        <f aca="false">IF(C78&lt;0.05,0.05,IF(C78&gt;0.95,0.95,IF(AND(C78&gt;=0.4995,C78&lt;=0.5005),0.5,10^((3*(C78-0.5)))/(10^((3*(C78-0.5)))+1))))</f>
        <v>0.666139424583122</v>
      </c>
      <c r="B79" s="48" t="n">
        <v>0.63</v>
      </c>
      <c r="C79" s="48" t="n">
        <f aca="false">1/SQRT(1+(2*PI()*B79*A$81/13.8)^2)</f>
        <v>0.963004662951908</v>
      </c>
      <c r="D79" s="48" t="n">
        <f aca="false">10^((D78-93.98)/10)</f>
        <v>0.0399944749761097</v>
      </c>
      <c r="E79" s="48" t="n">
        <f aca="false">10^((E78-93.98)/10)</f>
        <v>3.99944749761097E-005</v>
      </c>
      <c r="F79" s="48" t="n">
        <f aca="false">10^((F78-93.98)/10)</f>
        <v>2.52348077248057E-009</v>
      </c>
      <c r="G79" s="48" t="n">
        <f aca="false">D79+E79</f>
        <v>0.0400344694510858</v>
      </c>
      <c r="H79" s="48" t="n">
        <f aca="false">G64*H63</f>
        <v>0.000419392945035616</v>
      </c>
      <c r="I79" s="1" t="n">
        <f aca="false">C79*D$79/(D$79+E$79+F$79+H$79)</f>
        <v>0.952068880707722</v>
      </c>
      <c r="J79" s="48" t="n">
        <f aca="false">10*LOG10(I79/(1-I79))</f>
        <v>12.9805079925545</v>
      </c>
      <c r="K79" s="48" t="n">
        <f aca="false">(IF(J79&lt;-15,-15,IF(J79&gt;15,15,J79))+15)/30</f>
        <v>0.932683599751817</v>
      </c>
      <c r="L79" s="1"/>
    </row>
    <row r="80" customFormat="false" ht="14.65" hidden="false" customHeight="true" outlineLevel="0" collapsed="false">
      <c r="A80" s="24" t="n">
        <f aca="false">(SQRT(1-A79*A79))/A79/1.278</f>
        <v>0.876076937588525</v>
      </c>
      <c r="B80" s="48" t="n">
        <v>0.8</v>
      </c>
      <c r="C80" s="48" t="n">
        <f aca="false">1/SQRT(1+(2*PI()*B80*A$81/13.8)^2)</f>
        <v>0.942276083660808</v>
      </c>
      <c r="I80" s="1" t="n">
        <f aca="false">C80*D$79/(D$79+E$79+F$79+H$79)</f>
        <v>0.931575693038366</v>
      </c>
      <c r="J80" s="48" t="n">
        <f aca="false">10*LOG10(I80/(1-I80))</f>
        <v>11.3400774092911</v>
      </c>
      <c r="K80" s="48" t="n">
        <f aca="false">(IF(J80&lt;-15,-15,IF(J80&gt;15,15,J80))+15)/30</f>
        <v>0.878002580309703</v>
      </c>
      <c r="L80" s="1"/>
    </row>
    <row r="81" customFormat="false" ht="14.65" hidden="false" customHeight="true" outlineLevel="0" collapsed="false">
      <c r="A81" s="24" t="n">
        <f aca="false">A80*A80*A80*0.00414062467-A80*A80*0.04009697581+A80*1.14553203124</f>
        <v>0.975583481699507</v>
      </c>
      <c r="B81" s="48" t="n">
        <v>1</v>
      </c>
      <c r="C81" s="48" t="n">
        <f aca="false">1/SQRT(1+(2*PI()*B81*A$81/13.8)^2)</f>
        <v>0.913899063486714</v>
      </c>
      <c r="I81" s="1" t="n">
        <f aca="false">C81*D$79/(D$79+E$79+F$79+H$79)</f>
        <v>0.903520919396714</v>
      </c>
      <c r="J81" s="48" t="n">
        <f aca="false">10*LOG10(I81/(1-I81))</f>
        <v>9.71505056108901</v>
      </c>
      <c r="K81" s="48" t="n">
        <f aca="false">(IF(J81&lt;-15,-15,IF(J81&gt;15,15,J81))+15)/30</f>
        <v>0.823835018702967</v>
      </c>
      <c r="L81" s="1"/>
    </row>
    <row r="82" customFormat="false" ht="14.65" hidden="false" customHeight="true" outlineLevel="0" collapsed="false">
      <c r="B82" s="48" t="n">
        <v>1.25</v>
      </c>
      <c r="C82" s="48" t="n">
        <f aca="false">1/SQRT(1+(2*PI()*B82*A$81/13.8)^2)</f>
        <v>0.874276985308814</v>
      </c>
      <c r="I82" s="1" t="n">
        <f aca="false">C82*D$79/(D$79+E$79+F$79+H$79)</f>
        <v>0.864348785477327</v>
      </c>
      <c r="J82" s="48" t="n">
        <f aca="false">10*LOG10(I82/(1-I82))</f>
        <v>8.04265339619269</v>
      </c>
      <c r="K82" s="48" t="n">
        <f aca="false">(IF(J82&lt;-15,-15,IF(J82&gt;15,15,J82))+15)/30</f>
        <v>0.768088446539756</v>
      </c>
      <c r="L82" s="1"/>
    </row>
    <row r="83" customFormat="false" ht="14.65" hidden="false" customHeight="true" outlineLevel="0" collapsed="false">
      <c r="B83" s="48" t="n">
        <v>1.6</v>
      </c>
      <c r="C83" s="48" t="n">
        <f aca="false">1/SQRT(1+(2*PI()*B83*A$81/13.8)^2)</f>
        <v>0.815114258975178</v>
      </c>
      <c r="I83" s="1" t="n">
        <f aca="false">C83*D$79/(D$79+E$79+F$79+H$79)</f>
        <v>0.805857904999736</v>
      </c>
      <c r="J83" s="48" t="n">
        <f aca="false">10*LOG10(I83/(1-I83))</f>
        <v>6.18138758632635</v>
      </c>
      <c r="K83" s="48" t="n">
        <f aca="false">(IF(J83&lt;-15,-15,IF(J83&gt;15,15,J83))+15)/30</f>
        <v>0.706046252877545</v>
      </c>
      <c r="L83" s="1"/>
    </row>
    <row r="84" customFormat="false" ht="14.65" hidden="false" customHeight="true" outlineLevel="0" collapsed="false">
      <c r="B84" s="48" t="n">
        <v>2</v>
      </c>
      <c r="C84" s="48" t="n">
        <f aca="false">1/SQRT(1+(2*PI()*B84*A$81/13.8)^2)</f>
        <v>0.747600899489693</v>
      </c>
      <c r="I84" s="1" t="n">
        <f aca="false">C84*D$79/(D$79+E$79+F$79+H$79)</f>
        <v>0.739111220304427</v>
      </c>
      <c r="J84" s="48" t="n">
        <f aca="false">10*LOG10(I84/(1-I84))</f>
        <v>4.52254393903944</v>
      </c>
      <c r="K84" s="48" t="n">
        <f aca="false">(IF(J84&lt;-15,-15,IF(J84&gt;15,15,J84))+15)/30</f>
        <v>0.650751464634648</v>
      </c>
      <c r="L84" s="1"/>
    </row>
    <row r="85" customFormat="false" ht="14.65" hidden="false" customHeight="true" outlineLevel="0" collapsed="false">
      <c r="A85" s="1"/>
      <c r="B85" s="48" t="n">
        <v>2.5</v>
      </c>
      <c r="C85" s="48" t="n">
        <f aca="false">1/SQRT(1+(2*PI()*B85*A$81/13.8)^2)</f>
        <v>0.66917939017818</v>
      </c>
      <c r="D85" s="1"/>
      <c r="E85" s="1"/>
      <c r="I85" s="1" t="n">
        <f aca="false">C85*D$79/(D$79+E$79+F$79+H$79)</f>
        <v>0.661580257614425</v>
      </c>
      <c r="J85" s="48" t="n">
        <f aca="false">10*LOG10(I85/(1-I85))</f>
        <v>2.91126846310911</v>
      </c>
      <c r="K85" s="48" t="n">
        <f aca="false">(IF(J85&lt;-15,-15,IF(J85&gt;15,15,J85))+15)/30</f>
        <v>0.597042282103637</v>
      </c>
      <c r="L85" s="1"/>
    </row>
    <row r="86" customFormat="false" ht="14.65" hidden="false" customHeight="true" outlineLevel="0" collapsed="false">
      <c r="A86" s="1"/>
      <c r="B86" s="48" t="n">
        <v>3.15</v>
      </c>
      <c r="C86" s="48" t="n">
        <f aca="false">1/SQRT(1+(2*PI()*B86*A$81/13.8)^2)</f>
        <v>0.581461748295062</v>
      </c>
      <c r="D86" s="1"/>
      <c r="E86" s="1"/>
      <c r="I86" s="1" t="n">
        <f aca="false">C86*D$79/(D$79+E$79+F$79+H$79)</f>
        <v>0.574858728281444</v>
      </c>
      <c r="J86" s="48" t="n">
        <f aca="false">10*LOG10(I86/(1-I86))</f>
        <v>1.31027862487774</v>
      </c>
      <c r="K86" s="48" t="n">
        <f aca="false">(IF(J86&lt;-15,-15,IF(J86&gt;15,15,J86))+15)/30</f>
        <v>0.543675954162591</v>
      </c>
      <c r="L86" s="1"/>
    </row>
    <row r="87" customFormat="false" ht="14.65" hidden="false" customHeight="true" outlineLevel="0" collapsed="false">
      <c r="B87" s="48" t="n">
        <v>4</v>
      </c>
      <c r="C87" s="48" t="n">
        <f aca="false">1/SQRT(1+(2*PI()*B87*A$81/13.8)^2)</f>
        <v>0.490477581002488</v>
      </c>
      <c r="I87" s="1" t="n">
        <f aca="false">C87*D$79/(D$79+E$79+F$79+H$79)</f>
        <v>0.484907767866738</v>
      </c>
      <c r="J87" s="48" t="n">
        <f aca="false">10*LOG10(I87/(1-I87))</f>
        <v>-0.262258592862997</v>
      </c>
      <c r="K87" s="48" t="n">
        <f aca="false">(IF(J87&lt;-15,-15,IF(J87&gt;15,15,J87))+15)/30</f>
        <v>0.491258046904567</v>
      </c>
      <c r="L87" s="1"/>
    </row>
    <row r="88" customFormat="false" ht="14.65" hidden="false" customHeight="true" outlineLevel="0" collapsed="false">
      <c r="B88" s="48" t="n">
        <v>5</v>
      </c>
      <c r="C88" s="48" t="n">
        <f aca="false">1/SQRT(1+(2*PI()*B88*A$81/13.8)^2)</f>
        <v>0.410562927729329</v>
      </c>
      <c r="I88" s="1" t="n">
        <f aca="false">C88*D$79/(D$79+E$79+F$79+H$79)</f>
        <v>0.40590061720487</v>
      </c>
      <c r="J88" s="48" t="n">
        <f aca="false">10*LOG10(I88/(1-I88))</f>
        <v>-1.65439389494188</v>
      </c>
      <c r="K88" s="48" t="n">
        <f aca="false">(IF(J88&lt;-15,-15,IF(J88&gt;15,15,J88))+15)/30</f>
        <v>0.444853536835271</v>
      </c>
      <c r="L88" s="1"/>
    </row>
    <row r="89" customFormat="false" ht="14.65" hidden="false" customHeight="true" outlineLevel="0" collapsed="false">
      <c r="B89" s="48" t="n">
        <v>6.3</v>
      </c>
      <c r="C89" s="48" t="n">
        <f aca="false">1/SQRT(1+(2*PI()*B89*A$81/13.8)^2)</f>
        <v>0.336509692693801</v>
      </c>
      <c r="I89" s="1" t="n">
        <f aca="false">C89*D$79/(D$79+E$79+F$79+H$79)</f>
        <v>0.332688323115925</v>
      </c>
      <c r="J89" s="48" t="n">
        <f aca="false">10*LOG10(I89/(1-I89))</f>
        <v>-3.02291166352681</v>
      </c>
      <c r="K89" s="48" t="n">
        <f aca="false">(IF(J89&lt;-15,-15,IF(J89&gt;15,15,J89))+15)/30</f>
        <v>0.39923627788244</v>
      </c>
      <c r="L89" s="1"/>
    </row>
    <row r="90" customFormat="false" ht="14.65" hidden="false" customHeight="true" outlineLevel="0" collapsed="false">
      <c r="B90" s="48" t="n">
        <v>8</v>
      </c>
      <c r="C90" s="48" t="n">
        <f aca="false">1/SQRT(1+(2*PI()*B90*A$81/13.8)^2)</f>
        <v>0.270891345602166</v>
      </c>
      <c r="I90" s="1" t="n">
        <f aca="false">C90*D$79/(D$79+E$79+F$79+H$79)</f>
        <v>0.267815131247961</v>
      </c>
      <c r="J90" s="48" t="n">
        <f aca="false">10*LOG10(I90/(1-I90))</f>
        <v>-4.36785639048989</v>
      </c>
      <c r="K90" s="48" t="n">
        <f aca="false">(IF(J90&lt;-15,-15,IF(J90&gt;15,15,J90))+15)/30</f>
        <v>0.35440478698367</v>
      </c>
      <c r="L90" s="1"/>
    </row>
    <row r="91" customFormat="false" ht="14.65" hidden="false" customHeight="true" outlineLevel="0" collapsed="false">
      <c r="B91" s="48" t="n">
        <v>10</v>
      </c>
      <c r="C91" s="48" t="n">
        <f aca="false">1/SQRT(1+(2*PI()*B91*A$81/13.8)^2)</f>
        <v>0.2196335858773</v>
      </c>
      <c r="I91" s="1" t="n">
        <f aca="false">C91*D$79/(D$79+E$79+F$79+H$79)</f>
        <v>0.217139449388592</v>
      </c>
      <c r="J91" s="48" t="n">
        <f aca="false">10*LOG10(I91/(1-I91))</f>
        <v>-5.56945676706278</v>
      </c>
      <c r="K91" s="48" t="n">
        <f aca="false">(IF(J91&lt;-15,-15,IF(J91&gt;15,15,J91))+15)/30</f>
        <v>0.314351441097907</v>
      </c>
      <c r="L91" s="1"/>
    </row>
    <row r="92" customFormat="false" ht="14.65" hidden="false" customHeight="true" outlineLevel="0" collapsed="false">
      <c r="B92" s="48" t="n">
        <v>12.5</v>
      </c>
      <c r="C92" s="48" t="n">
        <f aca="false">1/SQRT(1+(2*PI()*B92*A$81/13.8)^2)</f>
        <v>0.177252695194472</v>
      </c>
      <c r="I92" s="1" t="n">
        <f aca="false">C92*D$79/(D$79+E$79+F$79+H$79)</f>
        <v>0.175239831756303</v>
      </c>
      <c r="J92" s="48" t="n">
        <f aca="false">10*LOG10(I92/(1-I92))</f>
        <v>-6.72694850998602</v>
      </c>
      <c r="K92" s="48" t="n">
        <f aca="false">(IF(J92&lt;-15,-15,IF(J92&gt;15,15,J92))+15)/30</f>
        <v>0.275768383000466</v>
      </c>
      <c r="L92" s="1"/>
    </row>
    <row r="93" customFormat="false" ht="14.65" hidden="false" customHeight="true" outlineLevel="0" collapsed="false">
      <c r="A93" s="50" t="s">
        <v>20</v>
      </c>
      <c r="B93" s="55"/>
      <c r="C93" s="51" t="n">
        <f aca="false">Main!H33</f>
        <v>0.6</v>
      </c>
      <c r="D93" s="52" t="n">
        <f aca="false">Main!H15</f>
        <v>80</v>
      </c>
      <c r="E93" s="52" t="n">
        <f aca="false">Main!H26</f>
        <v>50</v>
      </c>
      <c r="F93" s="48" t="n">
        <v>12</v>
      </c>
      <c r="G93" s="53" t="n">
        <f aca="false">10*LOG10(G94/(4*10^(-10)))</f>
        <v>80.0037408615136</v>
      </c>
      <c r="L93" s="54" t="n">
        <f aca="false">AVERAGE(K94:K107)</f>
        <v>0.584285501968465</v>
      </c>
      <c r="M93" s="48" t="n">
        <v>0.173</v>
      </c>
      <c r="O93" s="48" t="n">
        <f aca="false">M93*L93</f>
        <v>0.101081391840544</v>
      </c>
    </row>
    <row r="94" customFormat="false" ht="14.65" hidden="false" customHeight="true" outlineLevel="0" collapsed="false">
      <c r="A94" s="31" t="n">
        <f aca="false">IF(C93&lt;0.05,0.05,IF(C93&gt;0.95,0.95,IF(AND(C93&gt;=0.4995,C93&lt;=0.5005),0.5,10^((3*(C93-0.5)))/(10^((3*(C93-0.5)))+1))))</f>
        <v>0.666139424583122</v>
      </c>
      <c r="B94" s="48" t="n">
        <v>0.63</v>
      </c>
      <c r="C94" s="48" t="n">
        <f aca="false">1/SQRT(1+(2*PI()*B94*A$96/13.8)^2)</f>
        <v>0.963004662951908</v>
      </c>
      <c r="D94" s="48" t="n">
        <f aca="false">10^((D93-93.98)/10)</f>
        <v>0.0399944749761097</v>
      </c>
      <c r="E94" s="48" t="n">
        <f aca="false">10^((E93-93.98)/10)</f>
        <v>3.99944749761097E-005</v>
      </c>
      <c r="F94" s="48" t="n">
        <f aca="false">10^((F93-93.98)/10)</f>
        <v>6.33869711256926E-009</v>
      </c>
      <c r="G94" s="48" t="n">
        <f aca="false">D94+E94</f>
        <v>0.0400344694510858</v>
      </c>
      <c r="H94" s="48" t="n">
        <f aca="false">G79*H78</f>
        <v>0.000419392945035616</v>
      </c>
      <c r="I94" s="1" t="n">
        <f aca="false">C94*D$94/(D$94+E$94+F$94+H$94)</f>
        <v>0.952068790917824</v>
      </c>
      <c r="J94" s="48" t="n">
        <f aca="false">10*LOG10(I94/(1-I94))</f>
        <v>12.980499447291</v>
      </c>
      <c r="K94" s="48" t="n">
        <f aca="false">(IF(J94&lt;-15,-15,IF(J94&gt;15,15,J94))+15)/30</f>
        <v>0.932683314909699</v>
      </c>
    </row>
    <row r="95" customFormat="false" ht="14.65" hidden="false" customHeight="true" outlineLevel="0" collapsed="false">
      <c r="A95" s="24" t="n">
        <f aca="false">(SQRT(1-A94*A94))/A94/1.278</f>
        <v>0.876076937588525</v>
      </c>
      <c r="B95" s="48" t="n">
        <v>0.8</v>
      </c>
      <c r="C95" s="48" t="n">
        <f aca="false">1/SQRT(1+(2*PI()*B95*A$96/13.8)^2)</f>
        <v>0.942276083660808</v>
      </c>
      <c r="I95" s="1" t="n">
        <f aca="false">C95*D$94/(D$94+E$94+F$94+H$94)</f>
        <v>0.931575605181186</v>
      </c>
      <c r="J95" s="48" t="n">
        <f aca="false">10*LOG10(I95/(1-I95))</f>
        <v>11.3400714233456</v>
      </c>
      <c r="K95" s="48" t="n">
        <f aca="false">(IF(J95&lt;-15,-15,IF(J95&gt;15,15,J95))+15)/30</f>
        <v>0.878002380778187</v>
      </c>
    </row>
    <row r="96" customFormat="false" ht="14.65" hidden="false" customHeight="true" outlineLevel="0" collapsed="false">
      <c r="A96" s="24" t="n">
        <f aca="false">A95*A95*A95*0.00414062467-A95*A95*0.04009697581+A95*1.14553203124</f>
        <v>0.975583481699507</v>
      </c>
      <c r="B96" s="48" t="n">
        <v>1</v>
      </c>
      <c r="C96" s="48" t="n">
        <f aca="false">1/SQRT(1+(2*PI()*B96*A$96/13.8)^2)</f>
        <v>0.913899063486714</v>
      </c>
      <c r="I96" s="1" t="n">
        <f aca="false">C96*D$94/(D$94+E$94+F$94+H$94)</f>
        <v>0.903520834185389</v>
      </c>
      <c r="J96" s="48" t="n">
        <f aca="false">10*LOG10(I96/(1-I96))</f>
        <v>9.71504631577235</v>
      </c>
      <c r="K96" s="48" t="n">
        <f aca="false">(IF(J96&lt;-15,-15,IF(J96&gt;15,15,J96))+15)/30</f>
        <v>0.823834877192412</v>
      </c>
    </row>
    <row r="97" customFormat="false" ht="14.65" hidden="false" customHeight="true" outlineLevel="0" collapsed="false">
      <c r="B97" s="48" t="n">
        <v>1.25</v>
      </c>
      <c r="C97" s="48" t="n">
        <f aca="false">1/SQRT(1+(2*PI()*B97*A$96/13.8)^2)</f>
        <v>0.874276985308814</v>
      </c>
      <c r="I97" s="1" t="n">
        <f aca="false">C97*D$94/(D$94+E$94+F$94+H$94)</f>
        <v>0.864348703960337</v>
      </c>
      <c r="J97" s="48" t="n">
        <f aca="false">10*LOG10(I97/(1-I97))</f>
        <v>8.04265037679983</v>
      </c>
      <c r="K97" s="48" t="n">
        <f aca="false">(IF(J97&lt;-15,-15,IF(J97&gt;15,15,J97))+15)/30</f>
        <v>0.768088345893328</v>
      </c>
    </row>
    <row r="98" customFormat="false" ht="14.65" hidden="false" customHeight="true" outlineLevel="0" collapsed="false">
      <c r="B98" s="48" t="n">
        <v>1.6</v>
      </c>
      <c r="C98" s="48" t="n">
        <f aca="false">1/SQRT(1+(2*PI()*B98*A$96/13.8)^2)</f>
        <v>0.815114258975178</v>
      </c>
      <c r="I98" s="1" t="n">
        <f aca="false">C98*D$94/(D$94+E$94+F$94+H$94)</f>
        <v>0.805857828999038</v>
      </c>
      <c r="J98" s="48" t="n">
        <f aca="false">10*LOG10(I98/(1-I98))</f>
        <v>6.18138547661206</v>
      </c>
      <c r="K98" s="48" t="n">
        <f aca="false">(IF(J98&lt;-15,-15,IF(J98&gt;15,15,J98))+15)/30</f>
        <v>0.706046182553735</v>
      </c>
    </row>
    <row r="99" customFormat="false" ht="14.65" hidden="false" customHeight="true" outlineLevel="0" collapsed="false">
      <c r="B99" s="48" t="n">
        <v>2</v>
      </c>
      <c r="C99" s="48" t="n">
        <f aca="false">1/SQRT(1+(2*PI()*B99*A$96/13.8)^2)</f>
        <v>0.747600899489693</v>
      </c>
      <c r="I99" s="1" t="n">
        <f aca="false">C99*D$94/(D$94+E$94+F$94+H$94)</f>
        <v>0.739111150598629</v>
      </c>
      <c r="J99" s="48" t="n">
        <f aca="false">10*LOG10(I99/(1-I99))</f>
        <v>4.52254236908163</v>
      </c>
      <c r="K99" s="48" t="n">
        <f aca="false">(IF(J99&lt;-15,-15,IF(J99&gt;15,15,J99))+15)/30</f>
        <v>0.650751412302721</v>
      </c>
    </row>
    <row r="100" customFormat="false" ht="14.65" hidden="false" customHeight="true" outlineLevel="0" collapsed="false">
      <c r="A100" s="1"/>
      <c r="B100" s="48" t="n">
        <v>2.5</v>
      </c>
      <c r="C100" s="48" t="n">
        <f aca="false">1/SQRT(1+(2*PI()*B100*A$96/13.8)^2)</f>
        <v>0.66917939017818</v>
      </c>
      <c r="D100" s="1"/>
      <c r="E100" s="1"/>
      <c r="I100" s="1" t="n">
        <f aca="false">C100*D$94/(D$94+E$94+F$94+H$94)</f>
        <v>0.661580195220595</v>
      </c>
      <c r="J100" s="48" t="n">
        <f aca="false">10*LOG10(I100/(1-I100))</f>
        <v>2.91126725282395</v>
      </c>
      <c r="K100" s="48" t="n">
        <f aca="false">(IF(J100&lt;-15,-15,IF(J100&gt;15,15,J100))+15)/30</f>
        <v>0.597042241760798</v>
      </c>
    </row>
    <row r="101" customFormat="false" ht="14.65" hidden="false" customHeight="true" outlineLevel="0" collapsed="false">
      <c r="A101" s="1"/>
      <c r="B101" s="48" t="n">
        <v>3.15</v>
      </c>
      <c r="C101" s="48" t="n">
        <f aca="false">1/SQRT(1+(2*PI()*B101*A$96/13.8)^2)</f>
        <v>0.581461748295062</v>
      </c>
      <c r="D101" s="1"/>
      <c r="E101" s="1"/>
      <c r="I101" s="1" t="n">
        <f aca="false">C101*D$94/(D$94+E$94+F$94+H$94)</f>
        <v>0.574858674066347</v>
      </c>
      <c r="J101" s="48" t="n">
        <f aca="false">10*LOG10(I101/(1-I101))</f>
        <v>1.31027766146997</v>
      </c>
      <c r="K101" s="48" t="n">
        <f aca="false">(IF(J101&lt;-15,-15,IF(J101&gt;15,15,J101))+15)/30</f>
        <v>0.543675922048999</v>
      </c>
    </row>
    <row r="102" customFormat="false" ht="14.65" hidden="false" customHeight="true" outlineLevel="0" collapsed="false">
      <c r="B102" s="48" t="n">
        <v>4</v>
      </c>
      <c r="C102" s="48" t="n">
        <f aca="false">1/SQRT(1+(2*PI()*B102*A$96/13.8)^2)</f>
        <v>0.490477581002488</v>
      </c>
      <c r="I102" s="1" t="n">
        <f aca="false">C102*D$94/(D$94+E$94+F$94+H$94)</f>
        <v>0.484907722134943</v>
      </c>
      <c r="J102" s="48" t="n">
        <f aca="false">10*LOG10(I102/(1-I102))</f>
        <v>-0.262259388030126</v>
      </c>
      <c r="K102" s="48" t="n">
        <f aca="false">(IF(J102&lt;-15,-15,IF(J102&gt;15,15,J102))+15)/30</f>
        <v>0.491258020398996</v>
      </c>
    </row>
    <row r="103" customFormat="false" ht="14.65" hidden="false" customHeight="true" outlineLevel="0" collapsed="false">
      <c r="B103" s="48" t="n">
        <v>5</v>
      </c>
      <c r="C103" s="48" t="n">
        <f aca="false">1/SQRT(1+(2*PI()*B103*A$96/13.8)^2)</f>
        <v>0.410562927729329</v>
      </c>
      <c r="I103" s="1" t="n">
        <f aca="false">C103*D$94/(D$94+E$94+F$94+H$94)</f>
        <v>0.405900578924263</v>
      </c>
      <c r="J103" s="48" t="n">
        <f aca="false">10*LOG10(I103/(1-I103))</f>
        <v>-1.65439458436258</v>
      </c>
      <c r="K103" s="48" t="n">
        <f aca="false">(IF(J103&lt;-15,-15,IF(J103&gt;15,15,J103))+15)/30</f>
        <v>0.444853513854581</v>
      </c>
    </row>
    <row r="104" customFormat="false" ht="14.65" hidden="false" customHeight="true" outlineLevel="0" collapsed="false">
      <c r="B104" s="48" t="n">
        <v>6.3</v>
      </c>
      <c r="C104" s="48" t="n">
        <f aca="false">1/SQRT(1+(2*PI()*B104*A$96/13.8)^2)</f>
        <v>0.336509692693801</v>
      </c>
      <c r="I104" s="1" t="n">
        <f aca="false">C104*D$94/(D$94+E$94+F$94+H$94)</f>
        <v>0.332688291739991</v>
      </c>
      <c r="J104" s="48" t="n">
        <f aca="false">10*LOG10(I104/(1-I104))</f>
        <v>-3.02291227730959</v>
      </c>
      <c r="K104" s="48" t="n">
        <f aca="false">(IF(J104&lt;-15,-15,IF(J104&gt;15,15,J104))+15)/30</f>
        <v>0.399236257423014</v>
      </c>
    </row>
    <row r="105" customFormat="false" ht="14.65" hidden="false" customHeight="true" outlineLevel="0" collapsed="false">
      <c r="B105" s="48" t="n">
        <v>8</v>
      </c>
      <c r="C105" s="48" t="n">
        <f aca="false">1/SQRT(1+(2*PI()*B105*A$96/13.8)^2)</f>
        <v>0.270891345602166</v>
      </c>
      <c r="I105" s="1" t="n">
        <f aca="false">C105*D$94/(D$94+E$94+F$94+H$94)</f>
        <v>0.267815105990236</v>
      </c>
      <c r="J105" s="48" t="n">
        <f aca="false">10*LOG10(I105/(1-I105))</f>
        <v>-4.36785694989019</v>
      </c>
      <c r="K105" s="48" t="n">
        <f aca="false">(IF(J105&lt;-15,-15,IF(J105&gt;15,15,J105))+15)/30</f>
        <v>0.354404768336994</v>
      </c>
    </row>
    <row r="106" customFormat="false" ht="14.65" hidden="false" customHeight="true" outlineLevel="0" collapsed="false">
      <c r="B106" s="48" t="n">
        <v>10</v>
      </c>
      <c r="C106" s="48" t="n">
        <f aca="false">1/SQRT(1+(2*PI()*B106*A$96/13.8)^2)</f>
        <v>0.2196335858773</v>
      </c>
      <c r="I106" s="1" t="n">
        <f aca="false">C106*D$94/(D$94+E$94+F$94+H$94)</f>
        <v>0.217139428910107</v>
      </c>
      <c r="J106" s="48" t="n">
        <f aca="false">10*LOG10(I106/(1-I106))</f>
        <v>-5.56945729025227</v>
      </c>
      <c r="K106" s="48" t="n">
        <f aca="false">(IF(J106&lt;-15,-15,IF(J106&gt;15,15,J106))+15)/30</f>
        <v>0.314351423658258</v>
      </c>
    </row>
    <row r="107" customFormat="false" ht="14.65" hidden="false" customHeight="true" outlineLevel="0" collapsed="false">
      <c r="B107" s="48" t="n">
        <v>12.5</v>
      </c>
      <c r="C107" s="48" t="n">
        <f aca="false">1/SQRT(1+(2*PI()*B107*A$96/13.8)^2)</f>
        <v>0.177252695194472</v>
      </c>
      <c r="I107" s="1" t="n">
        <f aca="false">C107*D$94/(D$94+E$94+F$94+H$94)</f>
        <v>0.175239815229383</v>
      </c>
      <c r="J107" s="48" t="n">
        <f aca="false">10*LOG10(I107/(1-I107))</f>
        <v>-6.72694900659635</v>
      </c>
      <c r="K107" s="48" t="n">
        <f aca="false">(IF(J107&lt;-15,-15,IF(J107&gt;15,15,J107))+15)/30</f>
        <v>0.275768366446788</v>
      </c>
    </row>
    <row r="110" customFormat="false" ht="14.65" hidden="false" customHeight="true" outlineLevel="0" collapsed="false">
      <c r="N110" s="56" t="s">
        <v>72</v>
      </c>
      <c r="O110" s="56" t="n">
        <f aca="false">O3+O18+O33+O48+O63+O78+O93-P3-P18-P33-P48-P63-P78</f>
        <v>0.584643480764404</v>
      </c>
    </row>
    <row r="111" customFormat="false" ht="14.65" hidden="false" customHeight="true" outlineLevel="0" collapsed="false">
      <c r="F111" s="1"/>
      <c r="G111" s="1"/>
      <c r="H111" s="1"/>
      <c r="J111" s="1"/>
      <c r="K111" s="1"/>
      <c r="M111" s="1"/>
      <c r="N111" s="1"/>
      <c r="O111" s="1"/>
      <c r="P111" s="1"/>
    </row>
    <row r="112" customFormat="false" ht="14.65" hidden="false" customHeight="true" outlineLevel="0" collapsed="false">
      <c r="F112" s="1"/>
      <c r="G112" s="1"/>
      <c r="H112" s="1"/>
      <c r="J112" s="1"/>
      <c r="K112" s="1"/>
      <c r="M112" s="1"/>
      <c r="N112" s="1"/>
      <c r="O112" s="1"/>
      <c r="P112" s="1"/>
    </row>
    <row r="113" customFormat="false" ht="14.65" hidden="false" customHeight="true" outlineLevel="0" collapsed="false">
      <c r="F113" s="1"/>
      <c r="G113" s="1"/>
      <c r="H113" s="1"/>
      <c r="J113" s="1"/>
      <c r="K113" s="1"/>
      <c r="M113" s="1"/>
      <c r="N113" s="1"/>
      <c r="O113" s="1"/>
      <c r="P113" s="1"/>
    </row>
    <row r="114" customFormat="false" ht="14.65" hidden="false" customHeight="true" outlineLevel="0" collapsed="false">
      <c r="F114" s="1"/>
      <c r="G114" s="1"/>
      <c r="H114" s="1"/>
      <c r="J114" s="1"/>
      <c r="K114" s="1"/>
      <c r="M114" s="1"/>
      <c r="N114" s="1"/>
      <c r="O114" s="1"/>
      <c r="P114" s="1"/>
    </row>
    <row r="115" customFormat="false" ht="14.65" hidden="false" customHeight="true" outlineLevel="0" collapsed="false">
      <c r="F115" s="1"/>
      <c r="G115" s="1"/>
      <c r="H115" s="1"/>
      <c r="J115" s="1"/>
      <c r="K115" s="1"/>
      <c r="M115" s="1"/>
      <c r="N115" s="1"/>
      <c r="O115" s="1"/>
      <c r="P115" s="1"/>
    </row>
    <row r="116" customFormat="false" ht="26.1" hidden="false" customHeight="true" outlineLevel="0" collapsed="false">
      <c r="D116" s="13" t="s">
        <v>73</v>
      </c>
      <c r="E116" s="13"/>
      <c r="F116" s="13"/>
      <c r="G116" s="13"/>
      <c r="H116" s="1"/>
      <c r="J116" s="1"/>
      <c r="K116" s="1"/>
      <c r="M116" s="1"/>
      <c r="N116" s="13" t="s">
        <v>74</v>
      </c>
      <c r="O116" s="13"/>
      <c r="P116" s="13"/>
      <c r="Q116" s="13"/>
    </row>
    <row r="117" customFormat="false" ht="14.65" hidden="false" customHeight="true" outlineLevel="0" collapsed="false">
      <c r="F117" s="1"/>
      <c r="G117" s="1"/>
      <c r="H117" s="1"/>
      <c r="J117" s="1"/>
      <c r="K117" s="1"/>
      <c r="M117" s="1"/>
      <c r="N117" s="1"/>
      <c r="O117" s="1"/>
      <c r="P117" s="1"/>
    </row>
    <row r="118" customFormat="false" ht="14.65" hidden="false" customHeight="true" outlineLevel="0" collapsed="false">
      <c r="F118" s="1"/>
      <c r="G118" s="1"/>
      <c r="H118" s="1"/>
      <c r="J118" s="1"/>
      <c r="K118" s="1"/>
      <c r="M118" s="1"/>
      <c r="N118" s="1"/>
      <c r="O118" s="1"/>
      <c r="P118" s="1"/>
    </row>
    <row r="119" customFormat="false" ht="14.65" hidden="false" customHeight="true" outlineLevel="0" collapsed="false">
      <c r="F119" s="1"/>
      <c r="G119" s="1"/>
      <c r="H119" s="1"/>
      <c r="J119" s="1"/>
      <c r="K119" s="1"/>
      <c r="M119" s="1"/>
      <c r="N119" s="1"/>
      <c r="O119" s="1"/>
      <c r="P119" s="1"/>
    </row>
    <row r="120" customFormat="false" ht="14.65" hidden="false" customHeight="true" outlineLevel="0" collapsed="false">
      <c r="D120" s="57" t="s">
        <v>75</v>
      </c>
      <c r="E120" s="58"/>
      <c r="F120" s="58" t="s">
        <v>76</v>
      </c>
      <c r="G120" s="58"/>
      <c r="H120" s="58" t="s">
        <v>77</v>
      </c>
      <c r="I120" s="58"/>
      <c r="J120" s="58" t="s">
        <v>78</v>
      </c>
      <c r="K120" s="58"/>
      <c r="L120" s="58" t="s">
        <v>79</v>
      </c>
      <c r="N120" s="59"/>
      <c r="O120" s="60" t="s">
        <v>14</v>
      </c>
      <c r="P120" s="60" t="s">
        <v>15</v>
      </c>
      <c r="Q120" s="60" t="s">
        <v>16</v>
      </c>
      <c r="R120" s="60" t="s">
        <v>17</v>
      </c>
      <c r="S120" s="60" t="s">
        <v>18</v>
      </c>
      <c r="T120" s="60" t="s">
        <v>19</v>
      </c>
      <c r="U120" s="60" t="s">
        <v>20</v>
      </c>
    </row>
    <row r="121" customFormat="false" ht="14.65" hidden="false" customHeight="true" outlineLevel="0" collapsed="false">
      <c r="D121" s="58"/>
      <c r="E121" s="58"/>
      <c r="F121" s="58"/>
      <c r="G121" s="58"/>
      <c r="H121" s="58"/>
      <c r="I121" s="58"/>
      <c r="J121" s="58"/>
      <c r="K121" s="58"/>
      <c r="L121" s="58"/>
      <c r="N121" s="59" t="s">
        <v>80</v>
      </c>
      <c r="O121" s="61" t="n">
        <f aca="false">M3</f>
        <v>0.085</v>
      </c>
      <c r="P121" s="61" t="n">
        <f aca="false">M18</f>
        <v>0.127</v>
      </c>
      <c r="Q121" s="58" t="n">
        <f aca="false">M33</f>
        <v>0.23</v>
      </c>
      <c r="R121" s="58" t="n">
        <f aca="false">M48</f>
        <v>0.233</v>
      </c>
      <c r="S121" s="58" t="n">
        <f aca="false">M63</f>
        <v>0.309</v>
      </c>
      <c r="T121" s="58" t="n">
        <f aca="false">M78</f>
        <v>0.224</v>
      </c>
      <c r="U121" s="58" t="n">
        <f aca="false">M93</f>
        <v>0.173</v>
      </c>
    </row>
    <row r="122" customFormat="false" ht="14.65" hidden="false" customHeight="true" outlineLevel="0" collapsed="false">
      <c r="D122" s="61" t="n">
        <v>40</v>
      </c>
      <c r="E122" s="58" t="s">
        <v>81</v>
      </c>
      <c r="F122" s="61" t="n">
        <f aca="false">0.5*D122-65</f>
        <v>-45</v>
      </c>
      <c r="G122" s="61"/>
      <c r="H122" s="61" t="n">
        <f aca="false">1.8*D122-146.9</f>
        <v>-74.9</v>
      </c>
      <c r="I122" s="61"/>
      <c r="J122" s="61" t="n">
        <f aca="false">0.5*D122-59.8</f>
        <v>-39.8</v>
      </c>
      <c r="K122" s="61"/>
      <c r="L122" s="61" t="n">
        <v>-10</v>
      </c>
      <c r="N122" s="59" t="s">
        <v>82</v>
      </c>
      <c r="O122" s="61" t="n">
        <f aca="false">N3</f>
        <v>0.085</v>
      </c>
      <c r="P122" s="61" t="n">
        <f aca="false">N18</f>
        <v>0.078</v>
      </c>
      <c r="Q122" s="58" t="n">
        <f aca="false">N33</f>
        <v>0.065</v>
      </c>
      <c r="R122" s="58" t="n">
        <f aca="false">N48</f>
        <v>0.011</v>
      </c>
      <c r="S122" s="58" t="n">
        <f aca="false">M63</f>
        <v>0.309</v>
      </c>
      <c r="T122" s="58" t="n">
        <f aca="false">M78</f>
        <v>0.224</v>
      </c>
      <c r="U122" s="62" t="s">
        <v>83</v>
      </c>
    </row>
    <row r="123" customFormat="false" ht="14.65" hidden="false" customHeight="true" outlineLevel="0" collapsed="false">
      <c r="D123" s="58"/>
      <c r="E123" s="58"/>
      <c r="F123" s="58"/>
      <c r="G123" s="58"/>
      <c r="H123" s="58"/>
      <c r="I123" s="58"/>
      <c r="J123" s="58"/>
      <c r="K123" s="58"/>
      <c r="L123" s="58"/>
      <c r="N123" s="1"/>
      <c r="O123" s="1"/>
      <c r="P123" s="1"/>
    </row>
    <row r="124" customFormat="false" ht="14.65" hidden="false" customHeight="true" outlineLevel="0" collapsed="false">
      <c r="D124" s="58"/>
      <c r="E124" s="58"/>
      <c r="F124" s="58"/>
      <c r="G124" s="58"/>
      <c r="H124" s="58"/>
      <c r="I124" s="58"/>
      <c r="J124" s="58"/>
      <c r="K124" s="58"/>
      <c r="L124" s="58"/>
      <c r="N124" s="1"/>
      <c r="O124" s="1"/>
      <c r="P124" s="1"/>
    </row>
    <row r="125" customFormat="false" ht="14.65" hidden="false" customHeight="true" outlineLevel="0" collapsed="false">
      <c r="D125" s="58"/>
      <c r="E125" s="63" t="s">
        <v>84</v>
      </c>
      <c r="F125" s="58" t="n">
        <f aca="false">POWER(10,((0.5*D122-65)/10))</f>
        <v>3.16227766016838E-005</v>
      </c>
      <c r="G125" s="58"/>
      <c r="H125" s="58" t="n">
        <f aca="false">POWER(10,((1.8*D122-146.9)/10))</f>
        <v>3.235936569296E-008</v>
      </c>
      <c r="I125" s="58"/>
      <c r="J125" s="58" t="n">
        <f aca="false">POWER(10,((0.5*D122-59.8)/10))</f>
        <v>0.00010471285480509</v>
      </c>
      <c r="K125" s="58"/>
      <c r="L125" s="58" t="n">
        <f aca="false">POWER(10,((-10)/10))</f>
        <v>0.1</v>
      </c>
      <c r="N125" s="1"/>
      <c r="O125" s="1"/>
      <c r="P125" s="1"/>
    </row>
    <row r="126" customFormat="false" ht="14.65" hidden="false" customHeight="true" outlineLevel="0" collapsed="false">
      <c r="D126" s="58"/>
      <c r="E126" s="58"/>
      <c r="F126" s="58"/>
      <c r="G126" s="58"/>
      <c r="H126" s="58"/>
      <c r="I126" s="58"/>
      <c r="J126" s="58"/>
      <c r="K126" s="58"/>
      <c r="L126" s="58"/>
    </row>
    <row r="127" customFormat="false" ht="14.65" hidden="false" customHeight="true" outlineLevel="0" collapsed="false">
      <c r="D127" s="58"/>
      <c r="E127" s="58" t="s">
        <v>63</v>
      </c>
      <c r="F127" s="61" t="n">
        <f aca="false">IF(D122&lt;=63,(POWER(10,((0.5*D122-65)/10))))</f>
        <v>3.16227766016838E-005</v>
      </c>
      <c r="G127" s="61"/>
      <c r="H127" s="61" t="n">
        <f aca="false">IF(D122&lt;=67,(POWER(10,((1.8*D122-146.9)/10))))</f>
        <v>3.235936569296E-008</v>
      </c>
      <c r="I127" s="61"/>
      <c r="J127" s="61" t="n">
        <f aca="false">IF(D122&lt;=100,(POWER(10,((0.5*D122-59.8)/10))),0.1)</f>
        <v>0.00010471285480509</v>
      </c>
      <c r="K127" s="61"/>
      <c r="L127" s="61"/>
    </row>
    <row r="129" customFormat="false" ht="14.65" hidden="false" customHeight="true" outlineLevel="0" collapsed="false">
      <c r="D129" s="64" t="s">
        <v>85</v>
      </c>
      <c r="E129" s="65" t="n">
        <f aca="false">IF(D122&lt;=63,(POWER(10,((0.5*D122-65)/10))),IF(D122&lt;=67,(POWER(10,((1.8*D122-146.9)/10))),IF(D122&lt;=100,(POWER(10,((0.5*D122-59.8)/10))),0.1)))</f>
        <v>3.16227766016838E-005</v>
      </c>
      <c r="F129" s="65"/>
      <c r="G129" s="65"/>
      <c r="H129" s="65"/>
      <c r="I129" s="65"/>
      <c r="J129" s="65"/>
      <c r="K129" s="65"/>
      <c r="L129" s="65"/>
      <c r="M129" s="65"/>
    </row>
    <row r="147" customFormat="false" ht="14.65" hidden="false" customHeight="true" outlineLevel="0" collapsed="false">
      <c r="D147" s="66"/>
    </row>
  </sheetData>
  <sheetProtection sheet="true" objects="true" scenarios="true" selectLockedCells="true"/>
  <mergeCells count="1">
    <mergeCell ref="E129:M129"/>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32"/>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B4" activeCellId="0" sqref="B4"/>
    </sheetView>
  </sheetViews>
  <sheetFormatPr defaultColWidth="11.53515625" defaultRowHeight="12.8" zeroHeight="false" outlineLevelRow="0" outlineLevelCol="0"/>
  <cols>
    <col collapsed="false" customWidth="true" hidden="false" outlineLevel="0" max="1" min="1" style="1" width="87.62"/>
    <col collapsed="false" customWidth="true" hidden="false" outlineLevel="0" max="64" min="2" style="0" width="8.82"/>
  </cols>
  <sheetData>
    <row r="1" customFormat="false" ht="18" hidden="false" customHeight="true" outlineLevel="0" collapsed="false">
      <c r="A1" s="67" t="s">
        <v>86</v>
      </c>
    </row>
    <row r="3" customFormat="false" ht="37.3" hidden="false" customHeight="true" outlineLevel="0" collapsed="false">
      <c r="A3" s="68" t="s">
        <v>87</v>
      </c>
    </row>
    <row r="4" customFormat="false" ht="38.25" hidden="false" customHeight="true" outlineLevel="0" collapsed="false">
      <c r="A4" s="69" t="s">
        <v>88</v>
      </c>
    </row>
    <row r="5" customFormat="false" ht="12.75" hidden="false" customHeight="true" outlineLevel="0" collapsed="false">
      <c r="A5" s="69"/>
    </row>
    <row r="6" customFormat="false" ht="61.5" hidden="false" customHeight="true" outlineLevel="0" collapsed="false">
      <c r="A6" s="46" t="s">
        <v>89</v>
      </c>
    </row>
    <row r="8" customFormat="false" ht="12.75" hidden="false" customHeight="true" outlineLevel="0" collapsed="false">
      <c r="A8" s="70" t="s">
        <v>90</v>
      </c>
    </row>
    <row r="10" customFormat="false" ht="12.75" hidden="false" customHeight="true" outlineLevel="0" collapsed="false">
      <c r="A10" s="71" t="s">
        <v>91</v>
      </c>
    </row>
    <row r="12" customFormat="false" ht="25.5" hidden="false" customHeight="true" outlineLevel="0" collapsed="false">
      <c r="A12" s="72" t="s">
        <v>92</v>
      </c>
    </row>
    <row r="14" customFormat="false" ht="12.75" hidden="false" customHeight="true" outlineLevel="0" collapsed="false">
      <c r="A14" s="73" t="s">
        <v>93</v>
      </c>
      <c r="C14" s="74"/>
    </row>
    <row r="16" customFormat="false" ht="23.85" hidden="false" customHeight="false" outlineLevel="0" collapsed="false">
      <c r="A16" s="75" t="s">
        <v>94</v>
      </c>
    </row>
    <row r="18" customFormat="false" ht="12.75" hidden="false" customHeight="true" outlineLevel="0" collapsed="false">
      <c r="A18" s="76" t="s">
        <v>95</v>
      </c>
    </row>
    <row r="19" customFormat="false" ht="12.75" hidden="false" customHeight="true" outlineLevel="0" collapsed="false">
      <c r="A19" s="64" t="s">
        <v>96</v>
      </c>
    </row>
    <row r="20" customFormat="false" ht="12.75" hidden="false" customHeight="true" outlineLevel="0" collapsed="false">
      <c r="A20" s="64" t="s">
        <v>97</v>
      </c>
    </row>
    <row r="21" customFormat="false" ht="12.75" hidden="false" customHeight="true" outlineLevel="0" collapsed="false">
      <c r="A21" s="76" t="s">
        <v>98</v>
      </c>
    </row>
    <row r="22" customFormat="false" ht="38.25" hidden="false" customHeight="true" outlineLevel="0" collapsed="false">
      <c r="A22" s="77" t="s">
        <v>99</v>
      </c>
    </row>
    <row r="23" customFormat="false" ht="38.25" hidden="false" customHeight="true" outlineLevel="0" collapsed="false">
      <c r="A23" s="69" t="s">
        <v>100</v>
      </c>
    </row>
    <row r="24" customFormat="false" ht="15.65" hidden="false" customHeight="true" outlineLevel="0" collapsed="false">
      <c r="A24" s="1" t="s">
        <v>101</v>
      </c>
    </row>
    <row r="25" customFormat="false" ht="12.75" hidden="false" customHeight="true" outlineLevel="0" collapsed="false">
      <c r="A25" s="1" t="s">
        <v>102</v>
      </c>
    </row>
    <row r="26" customFormat="false" ht="12.75" hidden="false" customHeight="true" outlineLevel="0" collapsed="false">
      <c r="A26" s="1" t="s">
        <v>103</v>
      </c>
    </row>
    <row r="27" customFormat="false" ht="12.75" hidden="false" customHeight="true" outlineLevel="0" collapsed="false">
      <c r="A27" s="1" t="s">
        <v>104</v>
      </c>
    </row>
    <row r="28" customFormat="false" ht="12.75" hidden="false" customHeight="true" outlineLevel="0" collapsed="false">
      <c r="A28" s="69" t="s">
        <v>105</v>
      </c>
    </row>
    <row r="29" customFormat="false" ht="12.75" hidden="false" customHeight="true" outlineLevel="0" collapsed="false">
      <c r="A29" s="69" t="s">
        <v>106</v>
      </c>
    </row>
    <row r="30" customFormat="false" ht="12.75" hidden="false" customHeight="true" outlineLevel="0" collapsed="false">
      <c r="A30" s="69" t="s">
        <v>107</v>
      </c>
    </row>
    <row r="31" customFormat="false" ht="12.75" hidden="false" customHeight="true" outlineLevel="0" collapsed="false">
      <c r="A31" s="69"/>
    </row>
    <row r="32" customFormat="false" ht="42.5" hidden="false" customHeight="true" outlineLevel="0" collapsed="false">
      <c r="A32" s="78" t="s">
        <v>108</v>
      </c>
    </row>
  </sheetData>
  <sheetProtection sheet="true" objects="true" scenarios="true" selectLockedCells="true"/>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3:P86"/>
  <sheetViews>
    <sheetView showFormulas="false" showGridLines="true" showRowColHeaders="true" showZeros="true" rightToLeft="false" tabSelected="false" showOutlineSymbols="true" defaultGridColor="true" view="normal" topLeftCell="A25" colorId="64" zoomScale="130" zoomScaleNormal="130" zoomScalePageLayoutView="100" workbookViewId="0">
      <selection pane="topLeft" activeCell="D40" activeCellId="0" sqref="D40"/>
    </sheetView>
  </sheetViews>
  <sheetFormatPr defaultColWidth="11.53515625" defaultRowHeight="12.8" zeroHeight="false" outlineLevelRow="0" outlineLevelCol="0"/>
  <sheetData>
    <row r="3" customFormat="false" ht="12.8" hidden="false" customHeight="false" outlineLevel="0" collapsed="false">
      <c r="C3" s="1" t="s">
        <v>109</v>
      </c>
    </row>
    <row r="4" customFormat="false" ht="12.8" hidden="false" customHeight="false" outlineLevel="0" collapsed="false">
      <c r="C4" s="1" t="s">
        <v>110</v>
      </c>
      <c r="D4" s="1" t="s">
        <v>111</v>
      </c>
      <c r="E4" s="24" t="s">
        <v>112</v>
      </c>
      <c r="I4" s="79" t="s">
        <v>113</v>
      </c>
      <c r="J4" s="79" t="s">
        <v>114</v>
      </c>
    </row>
    <row r="5" customFormat="false" ht="12.8" hidden="false" customHeight="false" outlineLevel="0" collapsed="false">
      <c r="B5" s="1" t="n">
        <v>1</v>
      </c>
      <c r="C5" s="1" t="n">
        <f aca="false">B5/10</f>
        <v>0.1</v>
      </c>
      <c r="D5" s="80" t="n">
        <v>0.96</v>
      </c>
      <c r="E5" s="81" t="n">
        <v>0.2572</v>
      </c>
      <c r="I5" s="81" t="n">
        <f aca="false">E5</f>
        <v>0.2572</v>
      </c>
      <c r="J5" s="1" t="n">
        <f aca="false">C5</f>
        <v>0.1</v>
      </c>
    </row>
    <row r="6" customFormat="false" ht="12.8" hidden="false" customHeight="false" outlineLevel="0" collapsed="false">
      <c r="B6" s="1" t="n">
        <v>2</v>
      </c>
      <c r="C6" s="1" t="n">
        <f aca="false">B6/10</f>
        <v>0.2</v>
      </c>
      <c r="D6" s="80" t="n">
        <v>0.89</v>
      </c>
      <c r="E6" s="81" t="n">
        <v>0.2925</v>
      </c>
      <c r="I6" s="81" t="n">
        <f aca="false">E6</f>
        <v>0.2925</v>
      </c>
      <c r="J6" s="1" t="n">
        <f aca="false">C6</f>
        <v>0.2</v>
      </c>
    </row>
    <row r="7" customFormat="false" ht="12.8" hidden="false" customHeight="false" outlineLevel="0" collapsed="false">
      <c r="B7" s="1" t="n">
        <v>3</v>
      </c>
      <c r="C7" s="1" t="n">
        <f aca="false">B7/10</f>
        <v>0.3</v>
      </c>
      <c r="D7" s="80" t="n">
        <v>0.83</v>
      </c>
      <c r="E7" s="81" t="n">
        <v>0.3629</v>
      </c>
      <c r="I7" s="81" t="n">
        <f aca="false">E7</f>
        <v>0.3629</v>
      </c>
      <c r="J7" s="1" t="n">
        <f aca="false">C7</f>
        <v>0.3</v>
      </c>
    </row>
    <row r="8" customFormat="false" ht="12.8" hidden="false" customHeight="false" outlineLevel="0" collapsed="false">
      <c r="B8" s="1" t="n">
        <v>4</v>
      </c>
      <c r="C8" s="1" t="n">
        <f aca="false">B8/10</f>
        <v>0.4</v>
      </c>
      <c r="D8" s="80" t="n">
        <v>0.78</v>
      </c>
      <c r="E8" s="81" t="n">
        <v>0.4356</v>
      </c>
      <c r="I8" s="81" t="n">
        <f aca="false">E8</f>
        <v>0.4356</v>
      </c>
      <c r="J8" s="1" t="n">
        <f aca="false">C8</f>
        <v>0.4</v>
      </c>
    </row>
    <row r="9" customFormat="false" ht="12.8" hidden="false" customHeight="false" outlineLevel="0" collapsed="false">
      <c r="B9" s="1" t="n">
        <v>5</v>
      </c>
      <c r="C9" s="1" t="n">
        <f aca="false">B9/10</f>
        <v>0.5</v>
      </c>
      <c r="D9" s="80" t="n">
        <v>0.74</v>
      </c>
      <c r="E9" s="81" t="n">
        <v>0.5055</v>
      </c>
      <c r="I9" s="81" t="n">
        <f aca="false">E9</f>
        <v>0.5055</v>
      </c>
      <c r="J9" s="1" t="n">
        <f aca="false">C9</f>
        <v>0.5</v>
      </c>
    </row>
    <row r="10" customFormat="false" ht="12.8" hidden="false" customHeight="false" outlineLevel="0" collapsed="false">
      <c r="B10" s="1" t="n">
        <v>6</v>
      </c>
      <c r="C10" s="1" t="n">
        <f aca="false">B10/10</f>
        <v>0.6</v>
      </c>
      <c r="D10" s="80" t="n">
        <v>0.7</v>
      </c>
      <c r="E10" s="81" t="n">
        <v>0.5884</v>
      </c>
      <c r="I10" s="81" t="n">
        <f aca="false">E10</f>
        <v>0.5884</v>
      </c>
      <c r="J10" s="1" t="n">
        <f aca="false">C10</f>
        <v>0.6</v>
      </c>
    </row>
    <row r="11" customFormat="false" ht="12.8" hidden="false" customHeight="false" outlineLevel="0" collapsed="false">
      <c r="B11" s="1" t="n">
        <v>7</v>
      </c>
      <c r="C11" s="1" t="n">
        <f aca="false">B11/10</f>
        <v>0.7</v>
      </c>
      <c r="D11" s="80" t="n">
        <v>0.67</v>
      </c>
      <c r="E11" s="81" t="n">
        <v>0.661</v>
      </c>
      <c r="I11" s="81" t="n">
        <f aca="false">E11</f>
        <v>0.661</v>
      </c>
      <c r="J11" s="1" t="n">
        <f aca="false">C11</f>
        <v>0.7</v>
      </c>
    </row>
    <row r="12" customFormat="false" ht="12.8" hidden="false" customHeight="false" outlineLevel="0" collapsed="false">
      <c r="B12" s="1" t="n">
        <v>8</v>
      </c>
      <c r="C12" s="1" t="n">
        <f aca="false">B12/10</f>
        <v>0.8</v>
      </c>
      <c r="D12" s="80" t="n">
        <v>0.64</v>
      </c>
      <c r="E12" s="81" t="n">
        <v>0.7443</v>
      </c>
      <c r="I12" s="81" t="n">
        <f aca="false">E12</f>
        <v>0.7443</v>
      </c>
      <c r="J12" s="1" t="n">
        <f aca="false">C12</f>
        <v>0.8</v>
      </c>
    </row>
    <row r="13" customFormat="false" ht="12.8" hidden="false" customHeight="false" outlineLevel="0" collapsed="false">
      <c r="B13" s="1" t="n">
        <v>9</v>
      </c>
      <c r="C13" s="1" t="n">
        <f aca="false">B13/10</f>
        <v>0.9</v>
      </c>
      <c r="D13" s="80" t="n">
        <v>0.61</v>
      </c>
      <c r="E13" s="81" t="n">
        <v>0.8406</v>
      </c>
      <c r="I13" s="81" t="n">
        <f aca="false">E13</f>
        <v>0.8406</v>
      </c>
      <c r="J13" s="1" t="n">
        <f aca="false">C13</f>
        <v>0.9</v>
      </c>
    </row>
    <row r="14" customFormat="false" ht="12.8" hidden="false" customHeight="false" outlineLevel="0" collapsed="false">
      <c r="B14" s="1" t="n">
        <v>10</v>
      </c>
      <c r="C14" s="1" t="n">
        <f aca="false">B14/10</f>
        <v>1</v>
      </c>
      <c r="D14" s="80" t="n">
        <v>0.59</v>
      </c>
      <c r="E14" s="81" t="n">
        <v>0.9133</v>
      </c>
      <c r="I14" s="81" t="n">
        <f aca="false">E14</f>
        <v>0.9133</v>
      </c>
      <c r="J14" s="1" t="n">
        <f aca="false">C14</f>
        <v>1</v>
      </c>
    </row>
    <row r="15" customFormat="false" ht="12.8" hidden="false" customHeight="false" outlineLevel="0" collapsed="false">
      <c r="B15" s="1" t="n">
        <v>11</v>
      </c>
      <c r="C15" s="1" t="n">
        <f aca="false">B15/10</f>
        <v>1.1</v>
      </c>
      <c r="D15" s="80" t="n">
        <v>0.57</v>
      </c>
      <c r="E15" s="81" t="n">
        <v>0.9939</v>
      </c>
      <c r="I15" s="81" t="n">
        <f aca="false">E15</f>
        <v>0.9939</v>
      </c>
      <c r="J15" s="1" t="n">
        <f aca="false">C15</f>
        <v>1.1</v>
      </c>
    </row>
    <row r="16" customFormat="false" ht="12.8" hidden="false" customHeight="false" outlineLevel="0" collapsed="false">
      <c r="B16" s="1" t="n">
        <v>12</v>
      </c>
      <c r="C16" s="1" t="n">
        <f aca="false">B16/10</f>
        <v>1.2</v>
      </c>
      <c r="D16" s="80" t="n">
        <v>0.55</v>
      </c>
      <c r="E16" s="81" t="n">
        <v>1.0834</v>
      </c>
      <c r="I16" s="81" t="n">
        <f aca="false">E16</f>
        <v>1.0834</v>
      </c>
      <c r="J16" s="1" t="n">
        <f aca="false">C16</f>
        <v>1.2</v>
      </c>
    </row>
    <row r="17" customFormat="false" ht="12.8" hidden="false" customHeight="false" outlineLevel="0" collapsed="false">
      <c r="B17" s="1" t="n">
        <v>13</v>
      </c>
      <c r="C17" s="1" t="n">
        <f aca="false">B17/10</f>
        <v>1.3</v>
      </c>
      <c r="D17" s="80" t="n">
        <v>0.53</v>
      </c>
      <c r="E17" s="81" t="n">
        <v>1.1831</v>
      </c>
      <c r="I17" s="81" t="n">
        <f aca="false">E17</f>
        <v>1.1831</v>
      </c>
      <c r="J17" s="1" t="n">
        <f aca="false">C17</f>
        <v>1.3</v>
      </c>
    </row>
    <row r="18" customFormat="false" ht="12.8" hidden="false" customHeight="false" outlineLevel="0" collapsed="false">
      <c r="B18" s="1" t="n">
        <v>14</v>
      </c>
      <c r="C18" s="1" t="n">
        <f aca="false">B18/10</f>
        <v>1.4</v>
      </c>
      <c r="D18" s="80" t="n">
        <v>0.51</v>
      </c>
      <c r="E18" s="81" t="n">
        <v>1.2946</v>
      </c>
      <c r="I18" s="81" t="n">
        <f aca="false">E18</f>
        <v>1.2946</v>
      </c>
      <c r="J18" s="1" t="n">
        <f aca="false">C18</f>
        <v>1.4</v>
      </c>
    </row>
    <row r="19" customFormat="false" ht="12.8" hidden="false" customHeight="false" outlineLevel="0" collapsed="false">
      <c r="B19" s="1" t="n">
        <v>15</v>
      </c>
      <c r="C19" s="1" t="n">
        <f aca="false">B19/10</f>
        <v>1.5</v>
      </c>
      <c r="D19" s="80" t="n">
        <v>0.5</v>
      </c>
      <c r="E19" s="81" t="n">
        <v>1.3553</v>
      </c>
      <c r="I19" s="81" t="n">
        <f aca="false">E19</f>
        <v>1.3553</v>
      </c>
      <c r="J19" s="1" t="n">
        <f aca="false">C19</f>
        <v>1.5</v>
      </c>
    </row>
    <row r="20" customFormat="false" ht="12.8" hidden="false" customHeight="false" outlineLevel="0" collapsed="false">
      <c r="B20" s="1" t="n">
        <v>16</v>
      </c>
      <c r="C20" s="1" t="n">
        <f aca="false">B20/10</f>
        <v>1.6</v>
      </c>
      <c r="D20" s="80" t="n">
        <v>0.48</v>
      </c>
      <c r="E20" s="81" t="n">
        <v>1.4876</v>
      </c>
      <c r="I20" s="81" t="n">
        <f aca="false">E20</f>
        <v>1.4876</v>
      </c>
      <c r="J20" s="1" t="n">
        <f aca="false">C20</f>
        <v>1.6</v>
      </c>
    </row>
    <row r="21" customFormat="false" ht="12.8" hidden="false" customHeight="false" outlineLevel="0" collapsed="false">
      <c r="B21" s="1" t="n">
        <v>17</v>
      </c>
      <c r="C21" s="1" t="n">
        <f aca="false">B21/10</f>
        <v>1.7</v>
      </c>
      <c r="D21" s="80" t="n">
        <v>0.47</v>
      </c>
      <c r="E21" s="81" t="n">
        <v>1.5599</v>
      </c>
      <c r="I21" s="81" t="n">
        <f aca="false">E21</f>
        <v>1.5599</v>
      </c>
      <c r="J21" s="1" t="n">
        <f aca="false">C21</f>
        <v>1.7</v>
      </c>
    </row>
    <row r="22" customFormat="false" ht="12.8" hidden="false" customHeight="false" outlineLevel="0" collapsed="false">
      <c r="B22" s="1" t="n">
        <v>18</v>
      </c>
      <c r="C22" s="1" t="n">
        <f aca="false">B22/10</f>
        <v>1.8</v>
      </c>
      <c r="D22" s="80" t="n">
        <v>0.46</v>
      </c>
      <c r="E22" s="81" t="n">
        <v>1.6365</v>
      </c>
      <c r="I22" s="81" t="n">
        <f aca="false">E22</f>
        <v>1.6365</v>
      </c>
      <c r="J22" s="1" t="n">
        <f aca="false">C22</f>
        <v>1.8</v>
      </c>
    </row>
    <row r="23" customFormat="false" ht="12.8" hidden="false" customHeight="false" outlineLevel="0" collapsed="false">
      <c r="B23" s="1" t="n">
        <v>19</v>
      </c>
      <c r="C23" s="1" t="n">
        <f aca="false">B23/10</f>
        <v>1.9</v>
      </c>
      <c r="D23" s="80" t="n">
        <v>0.45</v>
      </c>
      <c r="E23" s="81" t="n">
        <v>1.7179</v>
      </c>
      <c r="I23" s="81" t="n">
        <f aca="false">E23</f>
        <v>1.7179</v>
      </c>
      <c r="J23" s="1" t="n">
        <f aca="false">C23</f>
        <v>1.9</v>
      </c>
    </row>
    <row r="24" customFormat="false" ht="12.8" hidden="false" customHeight="false" outlineLevel="0" collapsed="false">
      <c r="B24" s="1" t="n">
        <v>20</v>
      </c>
      <c r="C24" s="1" t="n">
        <f aca="false">B24/10</f>
        <v>2</v>
      </c>
      <c r="D24" s="80" t="n">
        <v>0.44</v>
      </c>
      <c r="E24" s="81" t="n">
        <v>1.8044</v>
      </c>
      <c r="I24" s="81" t="n">
        <f aca="false">E24</f>
        <v>1.8044</v>
      </c>
      <c r="J24" s="1" t="n">
        <f aca="false">C24</f>
        <v>2</v>
      </c>
    </row>
    <row r="25" customFormat="false" ht="12.8" hidden="false" customHeight="false" outlineLevel="0" collapsed="false">
      <c r="B25" s="1" t="n">
        <v>21</v>
      </c>
      <c r="C25" s="1" t="n">
        <f aca="false">B25/10</f>
        <v>2.1</v>
      </c>
      <c r="D25" s="80" t="n">
        <v>0.43</v>
      </c>
      <c r="E25" s="81" t="n">
        <v>1.8964</v>
      </c>
      <c r="I25" s="81" t="n">
        <f aca="false">E25</f>
        <v>1.8964</v>
      </c>
      <c r="J25" s="1" t="n">
        <f aca="false">C25</f>
        <v>2.1</v>
      </c>
    </row>
    <row r="26" customFormat="false" ht="12.8" hidden="false" customHeight="false" outlineLevel="0" collapsed="false">
      <c r="B26" s="1" t="n">
        <v>22</v>
      </c>
      <c r="C26" s="1" t="n">
        <f aca="false">B26/10</f>
        <v>2.2</v>
      </c>
      <c r="D26" s="80" t="n">
        <v>0.42</v>
      </c>
      <c r="E26" s="81" t="n">
        <v>1.9942</v>
      </c>
      <c r="I26" s="81" t="n">
        <f aca="false">E26</f>
        <v>1.9942</v>
      </c>
      <c r="J26" s="1" t="n">
        <f aca="false">C26</f>
        <v>2.2</v>
      </c>
    </row>
    <row r="27" customFormat="false" ht="12.8" hidden="false" customHeight="false" outlineLevel="0" collapsed="false">
      <c r="B27" s="1" t="n">
        <v>23</v>
      </c>
      <c r="C27" s="1" t="n">
        <f aca="false">B27/10</f>
        <v>2.3</v>
      </c>
      <c r="D27" s="80" t="n">
        <v>0.41</v>
      </c>
      <c r="E27" s="81" t="n">
        <v>2.0983</v>
      </c>
      <c r="I27" s="81" t="n">
        <f aca="false">E27</f>
        <v>2.0983</v>
      </c>
      <c r="J27" s="1" t="n">
        <f aca="false">C27</f>
        <v>2.3</v>
      </c>
    </row>
    <row r="28" customFormat="false" ht="12.8" hidden="false" customHeight="false" outlineLevel="0" collapsed="false">
      <c r="B28" s="1" t="n">
        <v>24</v>
      </c>
      <c r="C28" s="1" t="n">
        <f aca="false">B28/10</f>
        <v>2.4</v>
      </c>
      <c r="D28" s="80" t="n">
        <v>0.4</v>
      </c>
      <c r="E28" s="81" t="n">
        <v>2.2092</v>
      </c>
      <c r="I28" s="81" t="n">
        <f aca="false">E28</f>
        <v>2.2092</v>
      </c>
      <c r="J28" s="1" t="n">
        <f aca="false">C28</f>
        <v>2.4</v>
      </c>
    </row>
    <row r="29" customFormat="false" ht="12.8" hidden="false" customHeight="false" outlineLevel="0" collapsed="false">
      <c r="B29" s="1" t="n">
        <v>25</v>
      </c>
      <c r="C29" s="1" t="n">
        <f aca="false">B29/10</f>
        <v>2.5</v>
      </c>
      <c r="D29" s="80" t="n">
        <v>0.39</v>
      </c>
      <c r="E29" s="81" t="n">
        <v>2.3273</v>
      </c>
      <c r="I29" s="81" t="n">
        <f aca="false">E29</f>
        <v>2.3273</v>
      </c>
      <c r="J29" s="1" t="n">
        <f aca="false">C29</f>
        <v>2.5</v>
      </c>
    </row>
    <row r="30" customFormat="false" ht="12.8" hidden="false" customHeight="false" outlineLevel="0" collapsed="false">
      <c r="B30" s="1" t="n">
        <v>26</v>
      </c>
      <c r="C30" s="1" t="n">
        <f aca="false">B30/10</f>
        <v>2.6</v>
      </c>
      <c r="D30" s="80" t="n">
        <v>0.38</v>
      </c>
      <c r="E30" s="81" t="n">
        <v>2.4532</v>
      </c>
      <c r="I30" s="81" t="n">
        <f aca="false">E34</f>
        <v>2.7307</v>
      </c>
      <c r="J30" s="1" t="n">
        <f aca="false">C34</f>
        <v>3</v>
      </c>
    </row>
    <row r="31" customFormat="false" ht="12.8" hidden="false" customHeight="false" outlineLevel="0" collapsed="false">
      <c r="B31" s="1" t="n">
        <v>27</v>
      </c>
      <c r="C31" s="1" t="n">
        <f aca="false">B31/10</f>
        <v>2.7</v>
      </c>
      <c r="D31" s="80" t="n">
        <v>0.38</v>
      </c>
      <c r="E31" s="81" t="n">
        <v>2.4532</v>
      </c>
      <c r="I31" s="81" t="n">
        <f aca="false">E35</f>
        <v>3.2208</v>
      </c>
      <c r="J31" s="1" t="n">
        <f aca="false">C35</f>
        <v>3.5</v>
      </c>
    </row>
    <row r="32" customFormat="false" ht="12.8" hidden="false" customHeight="false" outlineLevel="0" collapsed="false">
      <c r="B32" s="1" t="n">
        <v>28</v>
      </c>
      <c r="C32" s="1" t="n">
        <f aca="false">B32/10</f>
        <v>2.8</v>
      </c>
      <c r="D32" s="80" t="n">
        <v>0.37</v>
      </c>
      <c r="E32" s="81" t="n">
        <v>2.5874</v>
      </c>
      <c r="I32" s="81" t="n">
        <f aca="false">E36</f>
        <v>3.8181</v>
      </c>
      <c r="J32" s="1" t="n">
        <f aca="false">C36</f>
        <v>4</v>
      </c>
    </row>
    <row r="33" customFormat="false" ht="12.8" hidden="false" customHeight="false" outlineLevel="0" collapsed="false">
      <c r="B33" s="1" t="n">
        <v>29</v>
      </c>
      <c r="C33" s="1" t="n">
        <f aca="false">B33/10</f>
        <v>2.9</v>
      </c>
      <c r="D33" s="80" t="n">
        <v>0.36</v>
      </c>
      <c r="E33" s="81" t="n">
        <v>2.7307</v>
      </c>
      <c r="I33" s="81" t="n">
        <f aca="false">E37</f>
        <v>4.2882</v>
      </c>
      <c r="J33" s="1" t="n">
        <f aca="false">C37</f>
        <v>4.5</v>
      </c>
    </row>
    <row r="34" customFormat="false" ht="12.8" hidden="false" customHeight="false" outlineLevel="0" collapsed="false">
      <c r="B34" s="1" t="n">
        <v>30</v>
      </c>
      <c r="C34" s="1" t="n">
        <f aca="false">B34/10</f>
        <v>3</v>
      </c>
      <c r="D34" s="80" t="n">
        <v>0.36</v>
      </c>
      <c r="E34" s="81" t="n">
        <v>2.7307</v>
      </c>
      <c r="I34" s="81" t="n">
        <f aca="false">E38</f>
        <v>4.8259</v>
      </c>
      <c r="J34" s="1" t="n">
        <f aca="false">C38</f>
        <v>5</v>
      </c>
    </row>
    <row r="35" customFormat="false" ht="12.8" hidden="false" customHeight="false" outlineLevel="0" collapsed="false">
      <c r="B35" s="1" t="n">
        <v>35</v>
      </c>
      <c r="C35" s="1" t="n">
        <f aca="false">B35/10</f>
        <v>3.5</v>
      </c>
      <c r="D35" s="80" t="n">
        <v>0.33</v>
      </c>
      <c r="E35" s="81" t="n">
        <v>3.2208</v>
      </c>
      <c r="I35" s="81" t="n">
        <f aca="false">E39</f>
        <v>5.7818</v>
      </c>
      <c r="J35" s="1" t="n">
        <f aca="false">C39</f>
        <v>6</v>
      </c>
    </row>
    <row r="36" customFormat="false" ht="12.8" hidden="false" customHeight="false" outlineLevel="0" collapsed="false">
      <c r="B36" s="1" t="n">
        <v>40</v>
      </c>
      <c r="C36" s="1" t="n">
        <f aca="false">B36/10</f>
        <v>4</v>
      </c>
      <c r="D36" s="80" t="n">
        <v>0.3</v>
      </c>
      <c r="E36" s="81" t="n">
        <v>3.8181</v>
      </c>
      <c r="I36" s="81" t="n">
        <f aca="false">E40</f>
        <v>7.4011</v>
      </c>
      <c r="J36" s="1" t="n">
        <f aca="false">C40</f>
        <v>8</v>
      </c>
    </row>
    <row r="37" customFormat="false" ht="12.8" hidden="false" customHeight="false" outlineLevel="0" collapsed="false">
      <c r="B37" s="1" t="n">
        <v>50</v>
      </c>
      <c r="C37" s="1" t="n">
        <v>4.5</v>
      </c>
      <c r="D37" s="80" t="n">
        <v>0.28</v>
      </c>
      <c r="E37" s="81" t="n">
        <v>4.2882</v>
      </c>
      <c r="I37" s="81" t="n">
        <f aca="false">E41</f>
        <v>8.9417</v>
      </c>
      <c r="J37" s="1" t="n">
        <f aca="false">C41</f>
        <v>10</v>
      </c>
    </row>
    <row r="38" customFormat="false" ht="12.8" hidden="false" customHeight="false" outlineLevel="0" collapsed="false">
      <c r="B38" s="1" t="n">
        <v>60</v>
      </c>
      <c r="C38" s="1" t="n">
        <v>5</v>
      </c>
      <c r="D38" s="80" t="n">
        <v>0.26</v>
      </c>
      <c r="E38" s="81" t="n">
        <v>4.8259</v>
      </c>
    </row>
    <row r="39" customFormat="false" ht="12.8" hidden="false" customHeight="false" outlineLevel="0" collapsed="false">
      <c r="B39" s="1" t="n">
        <v>70</v>
      </c>
      <c r="C39" s="1" t="n">
        <v>6</v>
      </c>
      <c r="D39" s="80" t="n">
        <v>0.23</v>
      </c>
      <c r="E39" s="81" t="n">
        <v>5.7818</v>
      </c>
    </row>
    <row r="40" customFormat="false" ht="12.8" hidden="false" customHeight="false" outlineLevel="0" collapsed="false">
      <c r="B40" s="1" t="n">
        <v>80</v>
      </c>
      <c r="C40" s="1" t="n">
        <v>8</v>
      </c>
      <c r="D40" s="80" t="n">
        <v>0.19</v>
      </c>
      <c r="E40" s="81" t="n">
        <v>7.4011</v>
      </c>
    </row>
    <row r="41" customFormat="false" ht="12.8" hidden="false" customHeight="false" outlineLevel="0" collapsed="false">
      <c r="B41" s="1" t="n">
        <v>90</v>
      </c>
      <c r="C41" s="1" t="n">
        <v>10</v>
      </c>
      <c r="D41" s="80" t="n">
        <v>0.16</v>
      </c>
      <c r="E41" s="81" t="n">
        <v>8.9417</v>
      </c>
    </row>
    <row r="42" customFormat="false" ht="12.8" hidden="false" customHeight="false" outlineLevel="0" collapsed="false">
      <c r="E42" s="81"/>
    </row>
    <row r="43" customFormat="false" ht="12.8" hidden="false" customHeight="false" outlineLevel="0" collapsed="false">
      <c r="E43" s="81"/>
    </row>
    <row r="44" customFormat="false" ht="12.8" hidden="false" customHeight="false" outlineLevel="0" collapsed="false">
      <c r="E44" s="81"/>
    </row>
    <row r="45" customFormat="false" ht="12.8" hidden="false" customHeight="false" outlineLevel="0" collapsed="false">
      <c r="E45" s="81"/>
    </row>
    <row r="82" customFormat="false" ht="12.8" hidden="false" customHeight="false" outlineLevel="0" collapsed="false">
      <c r="H82" s="1" t="s">
        <v>115</v>
      </c>
      <c r="O82" s="1" t="s">
        <v>116</v>
      </c>
      <c r="P82" s="1" t="n">
        <v>0.00414062467</v>
      </c>
    </row>
    <row r="84" customFormat="false" ht="12.8" hidden="false" customHeight="false" outlineLevel="0" collapsed="false">
      <c r="O84" s="1" t="s">
        <v>117</v>
      </c>
      <c r="P84" s="1" t="n">
        <v>0.04009697581</v>
      </c>
    </row>
    <row r="86" customFormat="false" ht="12.8" hidden="false" customHeight="false" outlineLevel="0" collapsed="false">
      <c r="O86" s="1" t="s">
        <v>118</v>
      </c>
      <c r="P86" s="1" t="n">
        <v>1.14553203124</v>
      </c>
    </row>
  </sheetData>
  <sheetProtection sheet="true" objects="true" scenarios="true" selectLockedCells="true"/>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3194</TotalTime>
  <Application>LibreOffice/7.4.7.2$Linux_X86_64 LibreOffice_project/40$Build-2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2003-11-02T18:24:35Z</dcterms:created>
  <dc:creator>Ole-Herman Bjor</dc:creator>
  <dc:description/>
  <dc:language>de-DE</dc:language>
  <cp:lastModifiedBy/>
  <cp:lastPrinted>2004-03-29T15:21:10Z</cp:lastPrinted>
  <dcterms:modified xsi:type="dcterms:W3CDTF">2025-11-25T12:46:44Z</dcterms:modified>
  <cp:revision>79</cp:revision>
  <dc:subject/>
  <dc:title/>
</cp:coreProperties>
</file>

<file path=docProps/custom.xml><?xml version="1.0" encoding="utf-8"?>
<Properties xmlns="http://schemas.openxmlformats.org/officeDocument/2006/custom-properties" xmlns:vt="http://schemas.openxmlformats.org/officeDocument/2006/docPropsVTypes"/>
</file>